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480" yWindow="-45" windowWidth="10170" windowHeight="9435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1'!$A$3:$G$71</definedName>
    <definedName name="_xlnm.Print_Area" localSheetId="2">'Раздел 2'!$A$2:$I$49</definedName>
    <definedName name="_xlnm.Print_Area" localSheetId="3">'Расчеты 2022г'!$A$1:$P$280</definedName>
  </definedNames>
  <calcPr calcId="124519"/>
</workbook>
</file>

<file path=xl/calcChain.xml><?xml version="1.0" encoding="utf-8"?>
<calcChain xmlns="http://schemas.openxmlformats.org/spreadsheetml/2006/main">
  <c r="H286" i="29"/>
  <c r="H262"/>
  <c r="G271"/>
  <c r="H271" s="1"/>
  <c r="T262"/>
  <c r="F25" i="21"/>
  <c r="D2" i="12"/>
  <c r="D57"/>
  <c r="G268" i="29"/>
  <c r="F236"/>
  <c r="G251"/>
  <c r="F201"/>
  <c r="F164"/>
  <c r="F173"/>
  <c r="F176"/>
  <c r="F167"/>
  <c r="G53"/>
  <c r="G56"/>
  <c r="G57"/>
  <c r="G58"/>
  <c r="R52"/>
  <c r="K14"/>
  <c r="I14"/>
  <c r="G261" l="1"/>
  <c r="F205"/>
  <c r="F191"/>
  <c r="F192"/>
  <c r="F196"/>
  <c r="F197"/>
  <c r="G237"/>
  <c r="G238"/>
  <c r="G239"/>
  <c r="G240"/>
  <c r="G241"/>
  <c r="G242"/>
  <c r="G243"/>
  <c r="G244"/>
  <c r="G245"/>
  <c r="G246"/>
  <c r="G247"/>
  <c r="G248"/>
  <c r="G249"/>
  <c r="G250"/>
  <c r="G252"/>
  <c r="H81"/>
  <c r="H82" s="1"/>
  <c r="F265"/>
  <c r="G270"/>
  <c r="H263"/>
  <c r="H80"/>
  <c r="D54" i="12" l="1"/>
  <c r="F11" i="21"/>
  <c r="M59" i="29"/>
  <c r="H59"/>
  <c r="H273"/>
  <c r="H274"/>
  <c r="H261"/>
  <c r="G236"/>
  <c r="G253" s="1"/>
  <c r="F194"/>
  <c r="H14"/>
  <c r="G14"/>
  <c r="K15"/>
  <c r="H15"/>
  <c r="G15"/>
  <c r="K16"/>
  <c r="H16"/>
  <c r="G16"/>
  <c r="Q15"/>
  <c r="Q16"/>
  <c r="G179"/>
  <c r="G178"/>
  <c r="O14" l="1"/>
  <c r="O17" s="1"/>
  <c r="H268"/>
  <c r="H267"/>
  <c r="L285"/>
  <c r="U16"/>
  <c r="G204"/>
  <c r="G177"/>
  <c r="F292" l="1"/>
  <c r="H269"/>
  <c r="H275"/>
  <c r="G166"/>
  <c r="G167"/>
  <c r="G169"/>
  <c r="G170"/>
  <c r="G171"/>
  <c r="G172"/>
  <c r="G173"/>
  <c r="G175"/>
  <c r="G155"/>
  <c r="G153"/>
  <c r="H134"/>
  <c r="G132"/>
  <c r="G133"/>
  <c r="G131" l="1"/>
  <c r="F102"/>
  <c r="E16" l="1"/>
  <c r="F8" i="21" l="1"/>
  <c r="F15" s="1"/>
  <c r="U99" i="29"/>
  <c r="K102"/>
  <c r="R54"/>
  <c r="H284"/>
  <c r="G199"/>
  <c r="G200"/>
  <c r="G201"/>
  <c r="G202"/>
  <c r="G168"/>
  <c r="G174"/>
  <c r="E102"/>
  <c r="Q102" s="1"/>
  <c r="E29" i="12"/>
  <c r="F29"/>
  <c r="D29"/>
  <c r="E80" i="29"/>
  <c r="Q80" s="1"/>
  <c r="U58" l="1"/>
  <c r="G227" l="1"/>
  <c r="G209" l="1"/>
  <c r="G208"/>
  <c r="D14" i="12" l="1"/>
  <c r="F16" i="29" l="1"/>
  <c r="J16" l="1"/>
  <c r="Q59"/>
  <c r="F13"/>
  <c r="T264"/>
  <c r="G207"/>
  <c r="S16" l="1"/>
  <c r="R16" s="1"/>
  <c r="L16"/>
  <c r="G206"/>
  <c r="G205"/>
  <c r="T176" l="1"/>
  <c r="G151" l="1"/>
  <c r="G10" i="12"/>
  <c r="N278" i="29"/>
  <c r="U264"/>
  <c r="I8" i="21" l="1"/>
  <c r="L290" i="29"/>
  <c r="L289"/>
  <c r="L288"/>
  <c r="L286"/>
  <c r="L284"/>
  <c r="E33" i="12"/>
  <c r="F33"/>
  <c r="D33"/>
  <c r="L287" i="29" s="1"/>
  <c r="E54" i="12"/>
  <c r="G8" i="21" s="1"/>
  <c r="F54" i="12"/>
  <c r="H8" i="21" s="1"/>
  <c r="G54" i="12"/>
  <c r="L292" i="29"/>
  <c r="E43" i="12"/>
  <c r="F43"/>
  <c r="D43"/>
  <c r="G181" i="29"/>
  <c r="G180"/>
  <c r="G176"/>
  <c r="E14" i="12"/>
  <c r="F14"/>
  <c r="G14"/>
  <c r="H285" i="29"/>
  <c r="E19" i="12"/>
  <c r="F19"/>
  <c r="G19"/>
  <c r="D19"/>
  <c r="D11" s="1"/>
  <c r="L293" i="29" l="1"/>
  <c r="H15" i="21"/>
  <c r="H29" s="1"/>
  <c r="H1"/>
  <c r="G15"/>
  <c r="G29" s="1"/>
  <c r="G1"/>
  <c r="F29"/>
  <c r="F11" i="12"/>
  <c r="E11"/>
  <c r="E28"/>
  <c r="F28"/>
  <c r="D28"/>
  <c r="D10" s="1"/>
  <c r="H287" i="29"/>
  <c r="F1" i="21" l="1"/>
  <c r="E10" i="12"/>
  <c r="F1"/>
  <c r="E1"/>
  <c r="F10"/>
  <c r="F2"/>
  <c r="E2"/>
  <c r="D1"/>
  <c r="Q14" i="29" l="1"/>
  <c r="F14"/>
  <c r="J14" l="1"/>
  <c r="V12"/>
  <c r="G164"/>
  <c r="K286"/>
  <c r="K278"/>
  <c r="F264"/>
  <c r="I278"/>
  <c r="G228"/>
  <c r="J228" s="1"/>
  <c r="G219"/>
  <c r="H219" s="1"/>
  <c r="M210"/>
  <c r="G203"/>
  <c r="G198"/>
  <c r="G197"/>
  <c r="G196"/>
  <c r="G195"/>
  <c r="G194"/>
  <c r="G193"/>
  <c r="G192"/>
  <c r="H210"/>
  <c r="G191"/>
  <c r="M183"/>
  <c r="F286" s="1"/>
  <c r="H183"/>
  <c r="G182"/>
  <c r="J183"/>
  <c r="G165"/>
  <c r="I156"/>
  <c r="J156" s="1"/>
  <c r="G154"/>
  <c r="G152"/>
  <c r="G122"/>
  <c r="G113"/>
  <c r="K290"/>
  <c r="E91"/>
  <c r="K289" s="1"/>
  <c r="G54"/>
  <c r="R57"/>
  <c r="H35"/>
  <c r="K285" s="1"/>
  <c r="N285" s="1"/>
  <c r="E26"/>
  <c r="G26" s="1"/>
  <c r="P17"/>
  <c r="N17"/>
  <c r="M17"/>
  <c r="D286" l="1"/>
  <c r="M289"/>
  <c r="N289"/>
  <c r="M285"/>
  <c r="M290"/>
  <c r="N290"/>
  <c r="M286"/>
  <c r="N286"/>
  <c r="G210"/>
  <c r="S14"/>
  <c r="R14" s="1"/>
  <c r="J13"/>
  <c r="S278"/>
  <c r="G183"/>
  <c r="R58"/>
  <c r="F262"/>
  <c r="R56"/>
  <c r="F91"/>
  <c r="K291"/>
  <c r="Q183"/>
  <c r="T194"/>
  <c r="I82"/>
  <c r="K288"/>
  <c r="I35"/>
  <c r="I134"/>
  <c r="J210"/>
  <c r="F285" s="1"/>
  <c r="U266"/>
  <c r="M291" l="1"/>
  <c r="N291"/>
  <c r="M288"/>
  <c r="N288"/>
  <c r="L14"/>
  <c r="R183"/>
  <c r="D285"/>
  <c r="G286"/>
  <c r="G285"/>
  <c r="R53"/>
  <c r="T180"/>
  <c r="L13"/>
  <c r="T195"/>
  <c r="S13"/>
  <c r="Q184"/>
  <c r="Q210"/>
  <c r="G26" i="12"/>
  <c r="Q211" i="29" l="1"/>
  <c r="R210"/>
  <c r="F15"/>
  <c r="J15" l="1"/>
  <c r="K17" l="1"/>
  <c r="F53" s="1"/>
  <c r="S15"/>
  <c r="R15" s="1"/>
  <c r="L15"/>
  <c r="L17" s="1"/>
  <c r="F284" l="1"/>
  <c r="D284" s="1"/>
  <c r="K284"/>
  <c r="F58"/>
  <c r="F56"/>
  <c r="F57"/>
  <c r="V16"/>
  <c r="U17"/>
  <c r="G52"/>
  <c r="G284" l="1"/>
  <c r="G287" s="1"/>
  <c r="M284"/>
  <c r="N284"/>
  <c r="F287"/>
  <c r="G55"/>
  <c r="G59" s="1"/>
  <c r="U59" l="1"/>
  <c r="U60"/>
  <c r="Q60"/>
  <c r="K287"/>
  <c r="S59"/>
  <c r="M287" l="1"/>
  <c r="N287"/>
  <c r="H270"/>
  <c r="H272" l="1"/>
  <c r="H266" s="1"/>
  <c r="H278" s="1"/>
  <c r="T278" l="1"/>
  <c r="K292"/>
  <c r="T266"/>
  <c r="S279"/>
  <c r="N292" l="1"/>
  <c r="M292"/>
  <c r="K293"/>
  <c r="K294" l="1"/>
  <c r="M293"/>
  <c r="K295"/>
  <c r="N293"/>
</calcChain>
</file>

<file path=xl/sharedStrings.xml><?xml version="1.0" encoding="utf-8"?>
<sst xmlns="http://schemas.openxmlformats.org/spreadsheetml/2006/main" count="1370" uniqueCount="446">
  <si>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</si>
  <si>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</si>
  <si>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</si>
  <si>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</si>
  <si>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</si>
  <si>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</si>
  <si>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</si>
  <si>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</si>
  <si>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</si>
  <si>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</si>
  <si>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</si>
  <si>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</si>
  <si>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</si>
  <si>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</si>
  <si>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</si>
  <si>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</si>
  <si>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</si>
  <si>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</si>
  <si>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</si>
  <si>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</si>
  <si>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</si>
  <si>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</si>
  <si>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</si>
  <si>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</si>
  <si>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</si>
  <si>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</si>
  <si>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</si>
  <si>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</si>
  <si>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</si>
  <si>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</si>
  <si>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</si>
  <si>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</si>
  <si>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</si>
  <si>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</si>
  <si>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</si>
  <si>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</si>
  <si>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</si>
  <si>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</si>
  <si>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</si>
  <si>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</si>
  <si>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</si>
  <si>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</si>
  <si>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</si>
  <si>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</si>
  <si>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</si>
  <si>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</si>
  <si>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</si>
  <si>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</si>
  <si>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</si>
  <si>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</si>
  <si>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</si>
  <si>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</si>
  <si>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</si>
  <si>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</si>
  <si>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</si>
  <si>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</si>
  <si>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</si>
  <si>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</si>
  <si>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</si>
  <si>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</si>
  <si>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</si>
  <si>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</si>
  <si>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</si>
  <si>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</si>
  <si>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</si>
  <si>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</si>
  <si>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</si>
  <si>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</si>
  <si>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</si>
  <si>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</si>
  <si>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</si>
  <si>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</si>
  <si>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</si>
  <si>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</si>
  <si>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</si>
  <si>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</si>
  <si>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</si>
  <si>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</si>
  <si>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</si>
  <si>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</si>
  <si>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</si>
  <si>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</si>
  <si>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</si>
  <si>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</si>
  <si>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</si>
  <si>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</si>
  <si>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</si>
  <si>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</si>
  <si>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</si>
  <si>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</si>
  <si>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</si>
  <si>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</si>
  <si>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</si>
  <si>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</si>
  <si>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</si>
  <si>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</si>
  <si>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</si>
  <si>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</si>
  <si>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</si>
  <si>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</si>
  <si>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</si>
  <si>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</si>
  <si>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</si>
  <si>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</si>
  <si>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</si>
  <si>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</si>
  <si>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</si>
  <si>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</si>
  <si>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</si>
  <si>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</si>
  <si>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</si>
  <si>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</si>
  <si>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</si>
  <si>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</si>
  <si>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</si>
  <si>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</si>
  <si>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</si>
  <si>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</si>
  <si>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</si>
  <si>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</si>
  <si>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</si>
  <si>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</si>
  <si>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</si>
  <si>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</si>
  <si>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</si>
  <si>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</si>
  <si>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</si>
  <si>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</si>
  <si>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</si>
  <si>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</si>
  <si>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</si>
  <si>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</si>
  <si>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</si>
  <si>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</si>
  <si>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</si>
  <si>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</si>
  <si>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</si>
  <si>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</si>
  <si>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</si>
  <si>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</si>
  <si>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</si>
  <si>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</si>
  <si>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</si>
  <si>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</si>
  <si>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</si>
  <si>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</si>
  <si>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</si>
  <si>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</si>
  <si>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</si>
  <si>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</si>
  <si>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</si>
  <si>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</si>
  <si>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</si>
  <si>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</si>
  <si>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</si>
  <si>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</si>
  <si>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</si>
  <si>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</si>
  <si>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</si>
  <si>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</si>
  <si>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</si>
  <si>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</si>
  <si>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</si>
  <si>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</si>
  <si>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</si>
  <si>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</si>
  <si>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</si>
  <si>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</si>
  <si>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</si>
  <si>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</si>
  <si>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</si>
  <si>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</si>
  <si>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</si>
  <si>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</si>
  <si>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</si>
  <si>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</si>
  <si>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</si>
  <si>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</si>
  <si>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</si>
  <si>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</si>
  <si>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</si>
  <si>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</si>
  <si>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</si>
  <si>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</si>
  <si>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</si>
  <si>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</si>
  <si>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</si>
  <si>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</si>
  <si>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</si>
  <si>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</si>
  <si>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</si>
  <si>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</si>
  <si>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</si>
  <si>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</si>
  <si>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</si>
  <si>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</si>
  <si>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</si>
  <si>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</si>
  <si>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</si>
  <si>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</si>
  <si>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</si>
  <si>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</si>
  <si>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</si>
  <si>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</si>
  <si>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</si>
  <si>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</si>
  <si>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</si>
  <si>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</si>
  <si>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</si>
  <si>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</si>
  <si>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</si>
  <si>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</si>
  <si>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</si>
  <si>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</si>
  <si>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</si>
  <si>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</si>
  <si>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</si>
  <si>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</si>
  <si>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</si>
  <si>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</si>
  <si>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</si>
  <si>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</si>
  <si>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</si>
  <si>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</si>
  <si>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</si>
  <si>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</si>
  <si>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</si>
  <si>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</si>
  <si>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</si>
  <si>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</si>
  <si>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</si>
  <si>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</si>
  <si>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</si>
  <si>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</si>
  <si>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</si>
  <si>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</si>
  <si>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</si>
  <si>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</si>
  <si>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</si>
  <si>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</si>
  <si>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</si>
  <si>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</si>
  <si>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</si>
  <si>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</si>
  <si>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</si>
  <si>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</si>
  <si>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</si>
  <si>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</si>
  <si>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</si>
  <si>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</si>
  <si>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</si>
  <si>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</si>
  <si>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</si>
  <si>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</si>
  <si>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</si>
  <si>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</si>
  <si>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</si>
  <si>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</si>
  <si>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</si>
  <si>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</si>
  <si>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</si>
  <si>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</si>
  <si>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</si>
  <si>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Приобретение горюче-смазочных материалов</t>
  </si>
  <si>
    <t>Приобретение прочих материальных запасов однократного применения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</si>
  <si>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</si>
  <si>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</si>
  <si>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</si>
  <si>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</si>
  <si>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</si>
  <si>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</si>
  <si>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Оплата услуг водоотведения и вывоз жидких бытовых отходов при отсутствии центральной системы канализации</t>
  </si>
  <si>
    <t>7.</t>
  </si>
  <si>
    <t>Ремонт и установка ограждений территорий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</si>
  <si>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</si>
  <si>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</si>
  <si>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</si>
  <si>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Услуги охраны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</si>
  <si>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</si>
  <si>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прочих материальных запасов</t>
  </si>
  <si>
    <t>5.5.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</si>
  <si>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</si>
  <si>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</si>
  <si>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</si>
  <si>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</si>
  <si>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</si>
  <si>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</si>
  <si>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</si>
  <si>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</si>
  <si>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</si>
  <si>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</si>
  <si>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</si>
  <si>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</si>
  <si>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</si>
  <si>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</si>
  <si>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</si>
  <si>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</si>
  <si>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</si>
  <si>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</si>
  <si>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</si>
  <si>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</si>
  <si>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</si>
  <si>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</si>
  <si>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</si>
  <si>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</si>
  <si>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</si>
  <si>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</si>
  <si>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ст.342</t>
  </si>
  <si>
    <t>ст.343</t>
  </si>
  <si>
    <t>ст.344</t>
  </si>
  <si>
    <t>ст.346</t>
  </si>
  <si>
    <t>ст.349</t>
  </si>
  <si>
    <t xml:space="preserve">МЗ </t>
  </si>
  <si>
    <t>Комиссия банка</t>
  </si>
  <si>
    <t>ВР 113</t>
  </si>
  <si>
    <t>ВР 851</t>
  </si>
  <si>
    <t>ВР 852</t>
  </si>
  <si>
    <t>ВР 853</t>
  </si>
  <si>
    <t>ВР</t>
  </si>
  <si>
    <t>ВСЕГО</t>
  </si>
  <si>
    <t>Педагогические работники 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</si>
  <si>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</si>
  <si>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</si>
  <si>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</si>
  <si>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</si>
  <si>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</si>
  <si>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остаток на 01.01.2020г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</si>
  <si>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</si>
  <si>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</si>
  <si>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</si>
  <si>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остаток</t>
  </si>
  <si>
    <t xml:space="preserve"> 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</si>
  <si>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</si>
  <si>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 xml:space="preserve">Средства, предусмотренные  на обучение по ППБ руководителей, работников несущих ответственность за ПБ </t>
  </si>
  <si>
    <t>Проведение контрольно-измерительных испытаний электрооборудования и электроустановок</t>
  </si>
  <si>
    <t xml:space="preserve">Педагогические работники </t>
  </si>
  <si>
    <t>Организация обучения руководителей учреждений, ответственных за энергоэффективностьметодом энергосбережения, технико экономической оценки энергосберегающих</t>
  </si>
  <si>
    <t>Заведующий</t>
  </si>
  <si>
    <t>Муниципальное бюджетное дошкольное образовательное учреждение «Детский сад комбинированного вида № 12» города Сорочинска Оренбургской области</t>
  </si>
  <si>
    <t>Муниципального бюджетного дошкольного образовательного учреждения «Детский сад комбинированного вида № 12» города Сорочинска Оренбургской области</t>
  </si>
  <si>
    <t>Раздел 1. Поступления и выплаты</t>
  </si>
  <si>
    <t xml:space="preserve">   (должность)                                                     (расшифровка подписи, телефон)</t>
  </si>
  <si>
    <t>5.7. Расчет (обоснование) расходов на услуги, работы для целей капитальных вложений.</t>
  </si>
  <si>
    <t>5.8. Расчет (обоснование) расходов на увеличение стоимости основных средств.</t>
  </si>
  <si>
    <t>5.9. Расчет (обоснование) расходов на увеличение стоимости материальных запасов</t>
  </si>
  <si>
    <t>Х</t>
  </si>
  <si>
    <t>Моющие средства</t>
  </si>
  <si>
    <t>из них:                                                                                       гранты, предоставляемые бюджетным учреждениям</t>
  </si>
  <si>
    <t>гранты, предоставляемые автономным учреждениям</t>
  </si>
  <si>
    <t>2420</t>
  </si>
  <si>
    <t>1.3.1.</t>
  </si>
  <si>
    <t>в том числе: в соответствии с Федеральным законом №44-ФЗ</t>
  </si>
  <si>
    <t>26310</t>
  </si>
  <si>
    <t>из них по Указам Президента РФ от 07.05.2018г. №204</t>
  </si>
  <si>
    <t>26310.1</t>
  </si>
  <si>
    <t>1.3.2.</t>
  </si>
  <si>
    <t>в соответствии с Федеральным законом №223-ФЗ</t>
  </si>
  <si>
    <t>26320</t>
  </si>
  <si>
    <t>26421.1</t>
  </si>
  <si>
    <t>26430.1</t>
  </si>
  <si>
    <t>26451.1</t>
  </si>
  <si>
    <t>Поверка манометра</t>
  </si>
  <si>
    <t>Дератизация, дезинфекция</t>
  </si>
  <si>
    <t>Ремонт транспортных средств</t>
  </si>
  <si>
    <t>6.</t>
  </si>
  <si>
    <t>=</t>
  </si>
  <si>
    <t>5.4.</t>
  </si>
  <si>
    <t>МЗ</t>
  </si>
  <si>
    <t>ПД</t>
  </si>
  <si>
    <t>Ремонт системы водоснабжения</t>
  </si>
  <si>
    <t>Бриллиантовый миг</t>
  </si>
  <si>
    <t>5.6.</t>
  </si>
  <si>
    <t>Оплата услуг водоснабжения</t>
  </si>
  <si>
    <t>Замена светильников</t>
  </si>
  <si>
    <t>взносы по обязательное социальное страхование в части выплат персоналу, подлежащих обложению страховыми взносами</t>
  </si>
  <si>
    <t>2143</t>
  </si>
  <si>
    <t>закупка энергетических ресурсов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</si>
  <si>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</si>
  <si>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</si>
  <si>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</si>
  <si>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</si>
  <si>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Технический осмотр ТС</t>
  </si>
  <si>
    <t>Замена извещателей</t>
  </si>
  <si>
    <t>Ремонт эвакуационного освещения</t>
  </si>
  <si>
    <t>Оборудование дверей устройством для самозакрывания</t>
  </si>
  <si>
    <t>Обеспечение проведения аттестации рабочих мест по условиям труда</t>
  </si>
  <si>
    <t>Модернизация, установка, техническое обслуживание систем видеонаблюдения</t>
  </si>
  <si>
    <t>Пюржавель</t>
  </si>
  <si>
    <t>Компенсация дополнительных расходов, связанных с проживанием вне места постоянного проживания (проживание,проезд)</t>
  </si>
  <si>
    <t>Установка камер видео наблюдения</t>
  </si>
  <si>
    <t>ст.310</t>
  </si>
  <si>
    <t xml:space="preserve"> по дог. №2022.789202/3719 
</t>
  </si>
  <si>
    <t>Установка системы оповещения</t>
  </si>
  <si>
    <t>Приобретение краски,эмаль,цемент,колер</t>
  </si>
  <si>
    <t>«___»   ______________ 2023 г.</t>
  </si>
  <si>
    <t>План финансово-хозяйственной деятельности на 2023 г.</t>
  </si>
  <si>
    <t>(на 2023 г. и плановый период 2024 и 2025 годов)</t>
  </si>
  <si>
    <t>на 2023 г. (текущий финансовый год)</t>
  </si>
  <si>
    <t>на 2024 г. (первый год планового периода)</t>
  </si>
  <si>
    <t>на 2025 г. (второй год планового периода)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</si>
  <si>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дошкольного образовательного учреждения «Детский сад комбинированного вида № 12» города Сорочинска Оренбургской области на 2023 год</t>
  </si>
  <si>
    <t>ТО , обслуживание объектов</t>
  </si>
  <si>
    <t>Организация  обучения руководителей учреждений, ответственных за энергоэффективность методам энергосбережения, технико-экономической оценке энергосберегающих мероприятий.</t>
  </si>
  <si>
    <t>Медицинское оборудование</t>
  </si>
  <si>
    <t>Канцелярские товары</t>
  </si>
  <si>
    <t>Запасные части</t>
  </si>
  <si>
    <t>прочих материальных запасов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</si>
  <si>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</t>
    </r>
  </si>
  <si>
    <t>"___" ____________ 2023 г.</t>
  </si>
  <si>
    <t>Иные выплаты персоналу учреждений, за исключением фонда оплаты труда</t>
  </si>
  <si>
    <t>Принтер МФУ</t>
  </si>
  <si>
    <t>ст 341</t>
  </si>
  <si>
    <t>Техническое обслуживание автоматических установок противопожарной защиты (ТО АПС)и дублирующего сигнал оборудования (ТО ПАК "Стрелец-мониторинг")</t>
  </si>
  <si>
    <t>Ремонт системы отопления</t>
  </si>
  <si>
    <t>Установка автономной системы  оповещения и управления эвакуацией, либо автономной системы (средства) экстренного оповещения работников, обучающихся и иных лиц, находящихся на объекте (территории), о потенциальной угрозе возникновения или о возникновении чрезвычайной ситуацивидеонаблюдения</t>
  </si>
  <si>
    <t>Компенсация дополнительных расходов, связанных с проживанием вне места постоянного проживания (проезд, проживание)</t>
  </si>
  <si>
    <t>6.1.</t>
  </si>
  <si>
    <t xml:space="preserve">                                         Т.В.Федорова</t>
  </si>
  <si>
    <t>"____" ______________ 2023г.</t>
  </si>
  <si>
    <t>Ноутбук</t>
  </si>
  <si>
    <t>Сейф-аптечка</t>
  </si>
  <si>
    <t>Водонагреватель</t>
  </si>
  <si>
    <t>Триммер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</si>
  <si>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А.В. Иванова </t>
    </r>
    <r>
      <rPr>
        <sz val="12"/>
        <color theme="1"/>
        <rFont val="Times New Roman"/>
        <family val="1"/>
        <charset val="204"/>
      </rPr>
      <t>/</t>
    </r>
  </si>
  <si>
    <t>ремонт ограждения</t>
  </si>
  <si>
    <t>Аппарат</t>
  </si>
  <si>
    <t>ст.345</t>
  </si>
  <si>
    <t>Приобретение мягкого инвентаря</t>
  </si>
  <si>
    <t>6.2.</t>
  </si>
  <si>
    <t>6.3.</t>
  </si>
  <si>
    <t>6.4.</t>
  </si>
  <si>
    <t>7.1.</t>
  </si>
  <si>
    <t>Заместитель главы администрации городского округа по социальным вопросам - начальник Управления образования</t>
  </si>
  <si>
    <t>И.В.Иванова</t>
  </si>
  <si>
    <t>Услуги нотариуса</t>
  </si>
  <si>
    <t>Морозильник</t>
  </si>
  <si>
    <t>Куркина Т.В.  8(35346)4-26-53</t>
  </si>
  <si>
    <t>Трудовой договор</t>
  </si>
  <si>
    <t>Новогодняя елка</t>
  </si>
  <si>
    <t>от "29" декабря  2023 г.</t>
  </si>
  <si>
    <t>Курсы повышения квалификации</t>
  </si>
  <si>
    <t>Интеактивная панель</t>
  </si>
  <si>
    <t>6.5.</t>
  </si>
  <si>
    <t>Игровые наборы</t>
  </si>
  <si>
    <t>6.6.</t>
  </si>
  <si>
    <t>Ткань,габардин.нитка</t>
  </si>
</sst>
</file>

<file path=xl/styles.xml><?xml version="1.0" encoding="utf-8"?>
<styleSheet xmlns="http://schemas.openxmlformats.org/spreadsheetml/2006/main">
  <numFmts count="5">
    <numFmt numFmtId="164" formatCode="_-* #,##0.00_р_._-;\-* #,##0.00_р_._-;_-* &quot;-&quot;??_р_._-;_-@_-"/>
    <numFmt numFmtId="165" formatCode="0.0"/>
    <numFmt numFmtId="166" formatCode="#,##0.00;[Red]\-#,##0.00;0.00"/>
    <numFmt numFmtId="167" formatCode="0.0000"/>
    <numFmt numFmtId="168" formatCode="#,##0.0"/>
  </numFmts>
  <fonts count="19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</cellStyleXfs>
  <cellXfs count="308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2" fontId="0" fillId="0" borderId="0" xfId="0" applyNumberFormat="1" applyFill="1" applyAlignment="1">
      <alignment horizontal="center"/>
    </xf>
    <xf numFmtId="2" fontId="5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Fill="1"/>
    <xf numFmtId="2" fontId="1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top" wrapText="1"/>
    </xf>
    <xf numFmtId="0" fontId="11" fillId="0" borderId="1" xfId="0" applyFont="1" applyFill="1" applyBorder="1" applyAlignment="1">
      <alignment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/>
    <xf numFmtId="0" fontId="1" fillId="0" borderId="0" xfId="0" applyFont="1" applyFill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2" fontId="17" fillId="0" borderId="0" xfId="0" applyNumberFormat="1" applyFont="1" applyFill="1"/>
    <xf numFmtId="0" fontId="17" fillId="0" borderId="0" xfId="0" applyFont="1" applyFill="1"/>
    <xf numFmtId="0" fontId="16" fillId="0" borderId="0" xfId="0" applyFont="1" applyFill="1" applyBorder="1" applyAlignment="1">
      <alignment horizontal="center" vertical="center" wrapText="1"/>
    </xf>
    <xf numFmtId="4" fontId="0" fillId="0" borderId="0" xfId="0" applyNumberFormat="1"/>
    <xf numFmtId="4" fontId="1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center" vertical="center" wrapText="1"/>
    </xf>
    <xf numFmtId="4" fontId="1" fillId="0" borderId="0" xfId="0" applyNumberFormat="1" applyFont="1"/>
    <xf numFmtId="4" fontId="1" fillId="0" borderId="0" xfId="0" applyNumberFormat="1" applyFont="1" applyBorder="1" applyAlignment="1"/>
    <xf numFmtId="4" fontId="2" fillId="0" borderId="0" xfId="0" applyNumberFormat="1" applyFont="1"/>
    <xf numFmtId="165" fontId="1" fillId="0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2" fontId="1" fillId="0" borderId="0" xfId="0" applyNumberFormat="1" applyFont="1" applyFill="1"/>
    <xf numFmtId="166" fontId="11" fillId="0" borderId="13" xfId="4" applyNumberFormat="1" applyFont="1" applyFill="1" applyBorder="1" applyAlignment="1" applyProtection="1">
      <alignment horizontal="center" vertical="center"/>
      <protection hidden="1"/>
    </xf>
    <xf numFmtId="166" fontId="11" fillId="2" borderId="13" xfId="4" applyNumberFormat="1" applyFont="1" applyFill="1" applyBorder="1" applyAlignment="1" applyProtection="1">
      <alignment vertical="center"/>
      <protection hidden="1"/>
    </xf>
    <xf numFmtId="166" fontId="11" fillId="2" borderId="13" xfId="4" applyNumberFormat="1" applyFont="1" applyFill="1" applyBorder="1" applyAlignment="1" applyProtection="1">
      <alignment horizontal="center" vertical="center"/>
      <protection hidden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165" fontId="1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top" wrapText="1"/>
    </xf>
    <xf numFmtId="4" fontId="0" fillId="0" borderId="0" xfId="0" applyNumberFormat="1" applyFill="1" applyAlignment="1">
      <alignment horizontal="center"/>
    </xf>
    <xf numFmtId="0" fontId="0" fillId="0" borderId="0" xfId="0" applyFill="1" applyBorder="1"/>
    <xf numFmtId="0" fontId="1" fillId="0" borderId="1" xfId="0" applyFont="1" applyFill="1" applyBorder="1"/>
    <xf numFmtId="165" fontId="1" fillId="0" borderId="1" xfId="0" applyNumberFormat="1" applyFont="1" applyFill="1" applyBorder="1" applyAlignment="1">
      <alignment horizontal="right"/>
    </xf>
    <xf numFmtId="0" fontId="17" fillId="0" borderId="1" xfId="0" applyFont="1" applyFill="1" applyBorder="1"/>
    <xf numFmtId="165" fontId="17" fillId="0" borderId="1" xfId="0" applyNumberFormat="1" applyFont="1" applyFill="1" applyBorder="1"/>
    <xf numFmtId="0" fontId="1" fillId="0" borderId="7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justify" wrapText="1"/>
    </xf>
    <xf numFmtId="0" fontId="5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0" fontId="5" fillId="0" borderId="1" xfId="0" applyFont="1" applyFill="1" applyBorder="1" applyAlignment="1">
      <alignment vertical="top" wrapText="1"/>
    </xf>
    <xf numFmtId="165" fontId="0" fillId="0" borderId="0" xfId="0" applyNumberFormat="1" applyFill="1"/>
    <xf numFmtId="167" fontId="0" fillId="0" borderId="0" xfId="0" applyNumberFormat="1" applyFill="1"/>
    <xf numFmtId="0" fontId="1" fillId="0" borderId="0" xfId="0" applyFont="1" applyFill="1" applyAlignment="1">
      <alignment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11" fillId="0" borderId="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0" fontId="11" fillId="0" borderId="2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left" vertical="center" wrapText="1"/>
    </xf>
    <xf numFmtId="165" fontId="1" fillId="0" borderId="0" xfId="0" applyNumberFormat="1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5" fontId="1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11" fillId="0" borderId="1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left" vertical="top" wrapText="1"/>
    </xf>
    <xf numFmtId="0" fontId="11" fillId="0" borderId="7" xfId="0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wrapText="1"/>
    </xf>
    <xf numFmtId="0" fontId="16" fillId="0" borderId="0" xfId="0" applyFont="1" applyFill="1" applyBorder="1" applyAlignment="1">
      <alignment horizontal="left" wrapText="1"/>
    </xf>
    <xf numFmtId="2" fontId="16" fillId="0" borderId="0" xfId="0" applyNumberFormat="1" applyFont="1" applyFill="1" applyBorder="1" applyAlignment="1">
      <alignment horizontal="center"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/>
    </xf>
    <xf numFmtId="0" fontId="0" fillId="0" borderId="0" xfId="0" applyAlignment="1">
      <alignment vertical="center" wrapText="1"/>
    </xf>
    <xf numFmtId="2" fontId="17" fillId="0" borderId="0" xfId="0" applyNumberFormat="1" applyFont="1" applyFill="1" applyAlignment="1">
      <alignment horizontal="right"/>
    </xf>
    <xf numFmtId="0" fontId="11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top" wrapText="1"/>
    </xf>
    <xf numFmtId="165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left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left" vertical="center" wrapText="1"/>
    </xf>
    <xf numFmtId="168" fontId="11" fillId="0" borderId="1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7" fillId="0" borderId="0" xfId="0" applyNumberFormat="1" applyFont="1" applyFill="1" applyAlignment="1">
      <alignment horizontal="center"/>
    </xf>
    <xf numFmtId="4" fontId="16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wrapText="1"/>
    </xf>
    <xf numFmtId="0" fontId="16" fillId="0" borderId="4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 wrapText="1"/>
    </xf>
    <xf numFmtId="4" fontId="16" fillId="0" borderId="1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4" xfId="0" applyFont="1" applyFill="1" applyBorder="1" applyAlignment="1">
      <alignment horizontal="center" vertical="top" wrapText="1"/>
    </xf>
    <xf numFmtId="0" fontId="11" fillId="0" borderId="5" xfId="2" applyFont="1" applyFill="1" applyBorder="1" applyAlignment="1" applyProtection="1">
      <alignment horizontal="center" vertical="top" wrapText="1"/>
    </xf>
    <xf numFmtId="0" fontId="11" fillId="0" borderId="12" xfId="2" applyFont="1" applyFill="1" applyBorder="1" applyAlignment="1" applyProtection="1">
      <alignment horizontal="center" vertical="top" wrapText="1"/>
    </xf>
    <xf numFmtId="0" fontId="11" fillId="0" borderId="13" xfId="2" applyFont="1" applyFill="1" applyBorder="1" applyAlignment="1" applyProtection="1">
      <alignment horizontal="center" vertical="top" wrapText="1"/>
    </xf>
    <xf numFmtId="0" fontId="11" fillId="0" borderId="14" xfId="2" applyFont="1" applyFill="1" applyBorder="1" applyAlignment="1" applyProtection="1">
      <alignment horizontal="center" vertical="top" wrapText="1"/>
    </xf>
    <xf numFmtId="0" fontId="11" fillId="0" borderId="15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" xfId="2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2" fontId="16" fillId="0" borderId="3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Fill="1" applyBorder="1" applyAlignment="1">
      <alignment horizontal="center" vertical="center" wrapText="1"/>
    </xf>
    <xf numFmtId="165" fontId="16" fillId="0" borderId="3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2" fontId="16" fillId="0" borderId="1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1" fillId="0" borderId="3" xfId="2" applyFont="1" applyFill="1" applyBorder="1" applyAlignment="1" applyProtection="1">
      <alignment horizontal="center" vertical="top" wrapText="1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2" fontId="5" fillId="0" borderId="1" xfId="0" applyNumberFormat="1" applyFont="1" applyFill="1" applyBorder="1" applyAlignment="1">
      <alignment horizontal="center" wrapText="1"/>
    </xf>
    <xf numFmtId="2" fontId="5" fillId="0" borderId="2" xfId="0" applyNumberFormat="1" applyFont="1" applyFill="1" applyBorder="1" applyAlignment="1">
      <alignment horizontal="left" wrapText="1" indent="2"/>
    </xf>
    <xf numFmtId="2" fontId="5" fillId="0" borderId="3" xfId="0" applyNumberFormat="1" applyFont="1" applyFill="1" applyBorder="1" applyAlignment="1">
      <alignment horizontal="left" wrapText="1" indent="2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  <xf numFmtId="0" fontId="16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</cellXfs>
  <cellStyles count="5">
    <cellStyle name="Гиперссылка" xfId="2" builtinId="8"/>
    <cellStyle name="Обычный" xfId="0" builtinId="0"/>
    <cellStyle name="Обычный 2" xfId="1"/>
    <cellStyle name="Обычный 2 2" xfId="4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tabSelected="1" view="pageBreakPreview" zoomScale="80" zoomScaleSheetLayoutView="80" workbookViewId="0">
      <selection activeCell="M15" sqref="M15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07" t="s">
        <v>0</v>
      </c>
      <c r="I1" s="207"/>
    </row>
    <row r="2" spans="1:9" ht="15.75">
      <c r="A2" s="2"/>
      <c r="B2" s="2"/>
      <c r="C2" s="2"/>
      <c r="D2" s="2"/>
      <c r="E2" s="2"/>
      <c r="F2" s="2"/>
      <c r="G2" s="212" t="s">
        <v>337</v>
      </c>
      <c r="H2" s="212"/>
      <c r="I2" s="212"/>
    </row>
    <row r="3" spans="1:9" ht="13.5" customHeight="1">
      <c r="A3" s="2"/>
      <c r="B3" s="2"/>
      <c r="C3" s="2"/>
      <c r="D3" s="2"/>
      <c r="E3" s="2"/>
      <c r="F3" s="2"/>
      <c r="G3" s="213" t="s">
        <v>38</v>
      </c>
      <c r="H3" s="213"/>
      <c r="I3" s="213"/>
    </row>
    <row r="4" spans="1:9" ht="76.5" customHeight="1">
      <c r="A4" s="2"/>
      <c r="B4" s="2"/>
      <c r="C4" s="2"/>
      <c r="D4" s="2"/>
      <c r="E4" s="2"/>
      <c r="F4" s="2"/>
      <c r="G4" s="214" t="s">
        <v>339</v>
      </c>
      <c r="H4" s="214"/>
      <c r="I4" s="214"/>
    </row>
    <row r="5" spans="1:9" ht="15.75">
      <c r="A5" s="2"/>
      <c r="B5" s="2"/>
      <c r="C5" s="2"/>
      <c r="D5" s="2"/>
      <c r="E5" s="2"/>
      <c r="F5" s="2"/>
      <c r="G5" s="215"/>
      <c r="H5" s="215"/>
      <c r="I5" s="215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423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39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394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08" t="s">
        <v>395</v>
      </c>
      <c r="C10" s="208"/>
      <c r="D10" s="208"/>
      <c r="E10" s="208"/>
      <c r="F10" s="208"/>
      <c r="G10" s="208"/>
      <c r="H10" s="208"/>
      <c r="I10" s="2"/>
    </row>
    <row r="11" spans="1:9" ht="15.75">
      <c r="A11" s="2"/>
      <c r="B11" s="208" t="s">
        <v>396</v>
      </c>
      <c r="C11" s="208"/>
      <c r="D11" s="208"/>
      <c r="E11" s="208"/>
      <c r="F11" s="208"/>
      <c r="G11" s="208"/>
      <c r="H11" s="208"/>
      <c r="I11" s="24"/>
    </row>
    <row r="12" spans="1:9" ht="15.75">
      <c r="A12" s="2"/>
      <c r="B12" s="2"/>
      <c r="C12" s="2"/>
      <c r="D12" s="2"/>
      <c r="E12" s="4"/>
      <c r="F12" s="2"/>
      <c r="G12" s="2"/>
      <c r="H12" s="2"/>
      <c r="I12" s="24"/>
    </row>
    <row r="13" spans="1:9" ht="15.75">
      <c r="A13" s="2"/>
      <c r="B13" s="209" t="s">
        <v>439</v>
      </c>
      <c r="C13" s="209"/>
      <c r="D13" s="209"/>
      <c r="E13" s="209"/>
      <c r="F13" s="209"/>
      <c r="G13" s="209"/>
      <c r="H13" s="209"/>
      <c r="I13" s="110" t="s">
        <v>17</v>
      </c>
    </row>
    <row r="14" spans="1:9" ht="15.75">
      <c r="A14" s="2"/>
      <c r="B14" s="111"/>
      <c r="C14" s="111"/>
      <c r="D14" s="111"/>
      <c r="E14" s="111"/>
      <c r="F14" s="111"/>
      <c r="G14" s="111"/>
      <c r="H14" s="112" t="s">
        <v>16</v>
      </c>
      <c r="I14" s="113">
        <v>45289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1" t="s">
        <v>40</v>
      </c>
      <c r="I15" s="15"/>
    </row>
    <row r="16" spans="1:9" ht="55.5" customHeight="1">
      <c r="A16" s="210" t="s">
        <v>1</v>
      </c>
      <c r="B16" s="210"/>
      <c r="C16" s="210"/>
      <c r="D16" s="211" t="s">
        <v>240</v>
      </c>
      <c r="E16" s="211"/>
      <c r="F16" s="211"/>
      <c r="G16" s="211"/>
      <c r="H16" s="22" t="s">
        <v>41</v>
      </c>
      <c r="I16" s="8">
        <v>771</v>
      </c>
    </row>
    <row r="17" spans="1:9" ht="22.5" customHeight="1">
      <c r="A17" s="17"/>
      <c r="B17" s="17"/>
      <c r="C17" s="17"/>
      <c r="D17" s="17"/>
      <c r="E17" s="19"/>
      <c r="F17" s="19"/>
      <c r="G17" s="19"/>
      <c r="H17" s="21" t="s">
        <v>40</v>
      </c>
      <c r="I17" s="9"/>
    </row>
    <row r="18" spans="1:9" ht="20.25" customHeight="1">
      <c r="A18" s="17"/>
      <c r="B18" s="17"/>
      <c r="C18" s="17"/>
      <c r="D18" s="17"/>
      <c r="E18" s="18"/>
      <c r="F18" s="19"/>
      <c r="G18" s="19"/>
      <c r="H18" s="20" t="s">
        <v>42</v>
      </c>
      <c r="I18" s="8">
        <v>5647020420</v>
      </c>
    </row>
    <row r="19" spans="1:9" ht="71.25" customHeight="1">
      <c r="A19" s="210" t="s">
        <v>45</v>
      </c>
      <c r="B19" s="210"/>
      <c r="C19" s="210"/>
      <c r="D19" s="211" t="s">
        <v>338</v>
      </c>
      <c r="E19" s="211"/>
      <c r="F19" s="211"/>
      <c r="G19" s="211"/>
      <c r="H19" s="20" t="s">
        <v>43</v>
      </c>
      <c r="I19" s="52">
        <v>564701001</v>
      </c>
    </row>
    <row r="20" spans="1:9" ht="24" customHeight="1">
      <c r="A20" s="210" t="s">
        <v>44</v>
      </c>
      <c r="B20" s="210"/>
      <c r="C20" s="210"/>
      <c r="D20" s="210"/>
      <c r="E20" s="23"/>
      <c r="F20" s="23"/>
      <c r="G20" s="23"/>
      <c r="H20" s="22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68"/>
  <sheetViews>
    <sheetView view="pageBreakPreview" zoomScale="80" zoomScaleSheetLayoutView="80" workbookViewId="0">
      <selection activeCell="D3" sqref="D3"/>
    </sheetView>
  </sheetViews>
  <sheetFormatPr defaultRowHeight="15"/>
  <cols>
    <col min="1" max="1" width="47.28515625" customWidth="1"/>
    <col min="3" max="3" width="18.140625" customWidth="1"/>
    <col min="4" max="4" width="15.85546875" style="68" customWidth="1"/>
    <col min="5" max="6" width="15.140625" style="68" customWidth="1"/>
    <col min="7" max="7" width="16.7109375" customWidth="1"/>
    <col min="8" max="8" width="12" bestFit="1" customWidth="1"/>
  </cols>
  <sheetData>
    <row r="1" spans="1:8">
      <c r="D1" s="63">
        <f>D11-D28</f>
        <v>-100305.8599999994</v>
      </c>
      <c r="E1" s="63">
        <f>E11-E28</f>
        <v>0</v>
      </c>
      <c r="F1" s="63">
        <f>F11-F28</f>
        <v>0</v>
      </c>
    </row>
    <row r="2" spans="1:8">
      <c r="D2" s="68" t="b">
        <f>D11+D9-D10=D28</f>
        <v>1</v>
      </c>
      <c r="E2" s="68" t="b">
        <f>E11=E28</f>
        <v>1</v>
      </c>
      <c r="F2" s="68" t="b">
        <f>F11=F28</f>
        <v>1</v>
      </c>
    </row>
    <row r="4" spans="1:8" ht="15.75">
      <c r="B4" s="207" t="s">
        <v>340</v>
      </c>
      <c r="C4" s="207"/>
      <c r="D4" s="207"/>
      <c r="E4" s="207"/>
    </row>
    <row r="5" spans="1:8" ht="15.75">
      <c r="A5" s="12"/>
    </row>
    <row r="6" spans="1:8" ht="33.75" customHeight="1">
      <c r="A6" s="216" t="s">
        <v>3</v>
      </c>
      <c r="B6" s="216" t="s">
        <v>5</v>
      </c>
      <c r="C6" s="216" t="s">
        <v>6</v>
      </c>
      <c r="D6" s="216" t="s">
        <v>46</v>
      </c>
      <c r="E6" s="216"/>
      <c r="F6" s="216"/>
      <c r="G6" s="216"/>
      <c r="H6" s="11"/>
    </row>
    <row r="7" spans="1:8" ht="111" customHeight="1">
      <c r="A7" s="216"/>
      <c r="B7" s="216"/>
      <c r="C7" s="216"/>
      <c r="D7" s="65" t="s">
        <v>397</v>
      </c>
      <c r="E7" s="65" t="s">
        <v>398</v>
      </c>
      <c r="F7" s="65" t="s">
        <v>399</v>
      </c>
      <c r="G7" s="43" t="s">
        <v>47</v>
      </c>
      <c r="H7" s="11"/>
    </row>
    <row r="8" spans="1:8" ht="15.75">
      <c r="A8" s="32">
        <v>1</v>
      </c>
      <c r="B8" s="32">
        <v>2</v>
      </c>
      <c r="C8" s="32">
        <v>3</v>
      </c>
      <c r="D8" s="108">
        <v>4</v>
      </c>
      <c r="E8" s="108">
        <v>5</v>
      </c>
      <c r="F8" s="108">
        <v>6</v>
      </c>
      <c r="G8" s="32">
        <v>7</v>
      </c>
      <c r="H8" s="11"/>
    </row>
    <row r="9" spans="1:8" ht="31.5">
      <c r="A9" s="39" t="s">
        <v>48</v>
      </c>
      <c r="B9" s="34" t="s">
        <v>56</v>
      </c>
      <c r="C9" s="28" t="s">
        <v>12</v>
      </c>
      <c r="D9" s="71">
        <v>154068.51</v>
      </c>
      <c r="E9" s="64">
        <v>0</v>
      </c>
      <c r="F9" s="64">
        <v>0</v>
      </c>
      <c r="G9" s="61">
        <v>0</v>
      </c>
      <c r="H9" s="16"/>
    </row>
    <row r="10" spans="1:8" ht="31.5">
      <c r="A10" s="39" t="s">
        <v>49</v>
      </c>
      <c r="B10" s="34" t="s">
        <v>57</v>
      </c>
      <c r="C10" s="28" t="s">
        <v>12</v>
      </c>
      <c r="D10" s="59">
        <f>D9+D11-D28</f>
        <v>53762.64999999851</v>
      </c>
      <c r="E10" s="59">
        <f>E9+E11-E28</f>
        <v>0</v>
      </c>
      <c r="F10" s="59">
        <f>F9+F11-F28</f>
        <v>0</v>
      </c>
      <c r="G10" s="31">
        <f>G9+G11-G28</f>
        <v>0</v>
      </c>
      <c r="H10" s="16"/>
    </row>
    <row r="11" spans="1:8" ht="22.5" customHeight="1">
      <c r="A11" s="44" t="s">
        <v>50</v>
      </c>
      <c r="B11" s="34" t="s">
        <v>58</v>
      </c>
      <c r="C11" s="28"/>
      <c r="D11" s="71">
        <f>D12+D14+D17+D19+D22+D24+D27</f>
        <v>35863284.32</v>
      </c>
      <c r="E11" s="71">
        <f>E12+E14+E17+E19+E22+E24+E27</f>
        <v>29400651.27</v>
      </c>
      <c r="F11" s="71">
        <f>F12+F14+F17+F19+F22+F24+F27</f>
        <v>29900651.27</v>
      </c>
      <c r="G11" s="31">
        <v>0</v>
      </c>
      <c r="H11" s="7"/>
    </row>
    <row r="12" spans="1:8" ht="36" customHeight="1">
      <c r="A12" s="9" t="s">
        <v>51</v>
      </c>
      <c r="B12" s="34" t="s">
        <v>59</v>
      </c>
      <c r="C12" s="45">
        <v>120</v>
      </c>
      <c r="D12" s="65"/>
      <c r="E12" s="65"/>
      <c r="F12" s="65"/>
      <c r="G12" s="14"/>
      <c r="H12" s="6"/>
    </row>
    <row r="13" spans="1:8" ht="21" customHeight="1">
      <c r="A13" s="9" t="s">
        <v>63</v>
      </c>
      <c r="B13" s="34" t="s">
        <v>60</v>
      </c>
      <c r="C13" s="45"/>
      <c r="D13" s="65"/>
      <c r="E13" s="65"/>
      <c r="F13" s="65"/>
      <c r="G13" s="60"/>
      <c r="H13" s="6"/>
    </row>
    <row r="14" spans="1:8" ht="41.25" customHeight="1">
      <c r="A14" s="9" t="s">
        <v>327</v>
      </c>
      <c r="B14" s="34" t="s">
        <v>61</v>
      </c>
      <c r="C14" s="43">
        <v>130</v>
      </c>
      <c r="D14" s="71">
        <f>D15+D16</f>
        <v>34959133.700000003</v>
      </c>
      <c r="E14" s="71">
        <f t="shared" ref="E14:G14" si="0">E15+E16</f>
        <v>29400651.27</v>
      </c>
      <c r="F14" s="71">
        <f t="shared" si="0"/>
        <v>29900651.27</v>
      </c>
      <c r="G14" s="31">
        <f t="shared" si="0"/>
        <v>0</v>
      </c>
      <c r="H14" s="7"/>
    </row>
    <row r="15" spans="1:8" ht="69.75" customHeight="1">
      <c r="A15" s="9" t="s">
        <v>52</v>
      </c>
      <c r="B15" s="34" t="s">
        <v>62</v>
      </c>
      <c r="C15" s="43">
        <v>130</v>
      </c>
      <c r="D15" s="105">
        <v>28356043.75</v>
      </c>
      <c r="E15" s="106">
        <v>23866042.27</v>
      </c>
      <c r="F15" s="106">
        <v>24366042.27</v>
      </c>
      <c r="G15" s="60"/>
      <c r="H15" s="7"/>
    </row>
    <row r="16" spans="1:8" s="47" customFormat="1" ht="57" customHeight="1">
      <c r="A16" s="48" t="s">
        <v>328</v>
      </c>
      <c r="B16" s="49" t="s">
        <v>329</v>
      </c>
      <c r="C16" s="52">
        <v>130</v>
      </c>
      <c r="D16" s="70">
        <v>6603089.9500000002</v>
      </c>
      <c r="E16" s="70">
        <v>5534609</v>
      </c>
      <c r="F16" s="70">
        <v>5534609</v>
      </c>
      <c r="G16" s="52"/>
      <c r="H16" s="53"/>
    </row>
    <row r="17" spans="1:8" ht="36" customHeight="1">
      <c r="A17" s="9" t="s">
        <v>53</v>
      </c>
      <c r="B17" s="34" t="s">
        <v>64</v>
      </c>
      <c r="C17" s="43">
        <v>140</v>
      </c>
      <c r="D17" s="65"/>
      <c r="E17" s="65"/>
      <c r="F17" s="65"/>
      <c r="G17" s="14"/>
      <c r="H17" s="6"/>
    </row>
    <row r="18" spans="1:8" ht="20.25" customHeight="1">
      <c r="A18" s="9" t="s">
        <v>54</v>
      </c>
      <c r="B18" s="34" t="s">
        <v>65</v>
      </c>
      <c r="C18" s="45">
        <v>140</v>
      </c>
      <c r="D18" s="65"/>
      <c r="E18" s="65"/>
      <c r="F18" s="65"/>
      <c r="G18" s="60"/>
      <c r="H18" s="6"/>
    </row>
    <row r="19" spans="1:8" ht="20.25" customHeight="1">
      <c r="A19" s="9" t="s">
        <v>55</v>
      </c>
      <c r="B19" s="34" t="s">
        <v>66</v>
      </c>
      <c r="C19" s="43">
        <v>150</v>
      </c>
      <c r="D19" s="64">
        <f>SUM(D20:D21)</f>
        <v>651540.98</v>
      </c>
      <c r="E19" s="64">
        <f t="shared" ref="E19:G19" si="1">SUM(E20:E21)</f>
        <v>0</v>
      </c>
      <c r="F19" s="64">
        <f t="shared" si="1"/>
        <v>0</v>
      </c>
      <c r="G19" s="31">
        <f t="shared" si="1"/>
        <v>0</v>
      </c>
      <c r="H19" s="6"/>
    </row>
    <row r="20" spans="1:8" ht="36" customHeight="1">
      <c r="A20" s="48" t="s">
        <v>67</v>
      </c>
      <c r="B20" s="34" t="s">
        <v>68</v>
      </c>
      <c r="C20" s="43">
        <v>150</v>
      </c>
      <c r="D20" s="105">
        <v>651540.98</v>
      </c>
      <c r="E20" s="107">
        <v>0</v>
      </c>
      <c r="F20" s="107">
        <v>0</v>
      </c>
      <c r="G20" s="60"/>
      <c r="H20" s="6"/>
    </row>
    <row r="21" spans="1:8" ht="36" customHeight="1">
      <c r="A21" s="9" t="s">
        <v>8</v>
      </c>
      <c r="B21" s="34" t="s">
        <v>69</v>
      </c>
      <c r="C21" s="43">
        <v>150</v>
      </c>
      <c r="D21" s="65"/>
      <c r="E21" s="65"/>
      <c r="F21" s="65"/>
      <c r="G21" s="60"/>
      <c r="H21" s="6"/>
    </row>
    <row r="22" spans="1:8" ht="18" customHeight="1">
      <c r="A22" s="9" t="s">
        <v>70</v>
      </c>
      <c r="B22" s="34" t="s">
        <v>71</v>
      </c>
      <c r="C22" s="43">
        <v>180</v>
      </c>
      <c r="D22" s="65"/>
      <c r="E22" s="65"/>
      <c r="F22" s="65"/>
      <c r="G22" s="14"/>
      <c r="H22" s="7"/>
    </row>
    <row r="23" spans="1:8" ht="18.75" customHeight="1">
      <c r="A23" s="9" t="s">
        <v>63</v>
      </c>
      <c r="B23" s="34" t="s">
        <v>72</v>
      </c>
      <c r="C23" s="45">
        <v>180</v>
      </c>
      <c r="D23" s="65"/>
      <c r="E23" s="65"/>
      <c r="F23" s="65"/>
      <c r="G23" s="60"/>
      <c r="H23" s="6"/>
    </row>
    <row r="24" spans="1:8" ht="19.5" customHeight="1">
      <c r="A24" s="9" t="s">
        <v>73</v>
      </c>
      <c r="B24" s="34" t="s">
        <v>74</v>
      </c>
      <c r="C24" s="43">
        <v>400</v>
      </c>
      <c r="D24" s="65"/>
      <c r="E24" s="65"/>
      <c r="F24" s="65"/>
      <c r="G24" s="14"/>
      <c r="H24" s="6"/>
    </row>
    <row r="25" spans="1:8" ht="18.75" customHeight="1">
      <c r="A25" s="9" t="s">
        <v>63</v>
      </c>
      <c r="B25" s="34" t="s">
        <v>75</v>
      </c>
      <c r="C25" s="45">
        <v>400</v>
      </c>
      <c r="D25" s="65"/>
      <c r="E25" s="65"/>
      <c r="F25" s="65"/>
      <c r="G25" s="60"/>
      <c r="H25" s="6"/>
    </row>
    <row r="26" spans="1:8" ht="18.75" customHeight="1">
      <c r="A26" s="9" t="s">
        <v>76</v>
      </c>
      <c r="B26" s="34" t="s">
        <v>77</v>
      </c>
      <c r="C26" s="45">
        <v>400</v>
      </c>
      <c r="D26" s="65"/>
      <c r="E26" s="65"/>
      <c r="F26" s="65"/>
      <c r="G26" s="14" t="str">
        <f t="shared" ref="G26" si="2">G27</f>
        <v>х</v>
      </c>
      <c r="H26" s="6"/>
    </row>
    <row r="27" spans="1:8" ht="66.75" customHeight="1">
      <c r="A27" s="9" t="s">
        <v>78</v>
      </c>
      <c r="B27" s="34" t="s">
        <v>79</v>
      </c>
      <c r="C27" s="45">
        <v>510</v>
      </c>
      <c r="D27" s="65">
        <v>252609.64</v>
      </c>
      <c r="E27" s="65"/>
      <c r="F27" s="65"/>
      <c r="G27" s="60" t="s">
        <v>12</v>
      </c>
      <c r="H27" s="6"/>
    </row>
    <row r="28" spans="1:8" s="10" customFormat="1" ht="20.25" customHeight="1">
      <c r="A28" s="44" t="s">
        <v>80</v>
      </c>
      <c r="B28" s="34" t="s">
        <v>81</v>
      </c>
      <c r="C28" s="28" t="s">
        <v>12</v>
      </c>
      <c r="D28" s="64">
        <f>D30+D31+D32+D33+D37+D43+D54</f>
        <v>35963590.18</v>
      </c>
      <c r="E28" s="64">
        <f>E30+E31+E32+E33+E37+E43+E54</f>
        <v>29400651.27</v>
      </c>
      <c r="F28" s="64">
        <f t="shared" ref="F28" si="3">F30+F31+F32+F33+F37+F43+F54</f>
        <v>29900651.27</v>
      </c>
      <c r="G28" s="31"/>
      <c r="H28" s="13"/>
    </row>
    <row r="29" spans="1:8" ht="33" customHeight="1">
      <c r="A29" s="9" t="s">
        <v>82</v>
      </c>
      <c r="B29" s="34" t="s">
        <v>83</v>
      </c>
      <c r="C29" s="43" t="s">
        <v>12</v>
      </c>
      <c r="D29" s="65">
        <f>D30+D31+D34</f>
        <v>24982688.59</v>
      </c>
      <c r="E29" s="65">
        <f t="shared" ref="E29:F29" si="4">E30+E31+E34</f>
        <v>23098330.27</v>
      </c>
      <c r="F29" s="65">
        <f t="shared" si="4"/>
        <v>23098330.27</v>
      </c>
      <c r="G29" s="60" t="s">
        <v>12</v>
      </c>
      <c r="H29" s="7"/>
    </row>
    <row r="30" spans="1:8" ht="33" customHeight="1">
      <c r="A30" s="9" t="s">
        <v>84</v>
      </c>
      <c r="B30" s="34" t="s">
        <v>85</v>
      </c>
      <c r="C30" s="43">
        <v>111</v>
      </c>
      <c r="D30" s="105">
        <v>19239605.57</v>
      </c>
      <c r="E30" s="107">
        <v>17740629.109999999</v>
      </c>
      <c r="F30" s="107">
        <v>17740629.109999999</v>
      </c>
      <c r="G30" s="60" t="s">
        <v>12</v>
      </c>
      <c r="H30" s="7"/>
    </row>
    <row r="31" spans="1:8" ht="38.25" customHeight="1">
      <c r="A31" s="37" t="s">
        <v>86</v>
      </c>
      <c r="B31" s="34" t="s">
        <v>87</v>
      </c>
      <c r="C31" s="43">
        <v>112</v>
      </c>
      <c r="D31" s="65">
        <v>29814.2</v>
      </c>
      <c r="E31" s="65">
        <v>0</v>
      </c>
      <c r="F31" s="65">
        <v>0</v>
      </c>
      <c r="G31" s="60" t="s">
        <v>12</v>
      </c>
      <c r="H31" s="7"/>
    </row>
    <row r="32" spans="1:8" ht="47.25">
      <c r="A32" s="37" t="s">
        <v>88</v>
      </c>
      <c r="B32" s="36">
        <v>2130</v>
      </c>
      <c r="C32" s="38">
        <v>113</v>
      </c>
      <c r="D32" s="66"/>
      <c r="E32" s="66"/>
      <c r="F32" s="66"/>
      <c r="G32" s="60" t="s">
        <v>12</v>
      </c>
    </row>
    <row r="33" spans="1:9" ht="68.25" customHeight="1">
      <c r="A33" s="37" t="s">
        <v>89</v>
      </c>
      <c r="B33" s="34" t="s">
        <v>90</v>
      </c>
      <c r="C33" s="43" t="s">
        <v>13</v>
      </c>
      <c r="D33" s="64">
        <f>SUM(D34:D35)</f>
        <v>5713268.8200000003</v>
      </c>
      <c r="E33" s="64">
        <f t="shared" ref="E33:F33" si="5">SUM(E34:E35)</f>
        <v>5357701.16</v>
      </c>
      <c r="F33" s="64">
        <f t="shared" si="5"/>
        <v>5357701.16</v>
      </c>
      <c r="G33" s="60" t="s">
        <v>12</v>
      </c>
      <c r="H33" s="7"/>
    </row>
    <row r="34" spans="1:9" s="47" customFormat="1" ht="33" customHeight="1">
      <c r="A34" s="48" t="s">
        <v>91</v>
      </c>
      <c r="B34" s="49" t="s">
        <v>92</v>
      </c>
      <c r="C34" s="52">
        <v>119</v>
      </c>
      <c r="D34" s="105">
        <v>5713268.8200000003</v>
      </c>
      <c r="E34" s="107">
        <v>5357701.16</v>
      </c>
      <c r="F34" s="107">
        <v>5357701.16</v>
      </c>
      <c r="G34" s="52" t="s">
        <v>12</v>
      </c>
      <c r="H34" s="53"/>
    </row>
    <row r="35" spans="1:9" s="47" customFormat="1" ht="16.5" customHeight="1">
      <c r="A35" s="48" t="s">
        <v>93</v>
      </c>
      <c r="B35" s="49" t="s">
        <v>94</v>
      </c>
      <c r="C35" s="52">
        <v>119</v>
      </c>
      <c r="D35" s="65"/>
      <c r="E35" s="65"/>
      <c r="F35" s="65"/>
      <c r="G35" s="52"/>
      <c r="H35" s="53"/>
    </row>
    <row r="36" spans="1:9" s="47" customFormat="1" ht="30.6" customHeight="1">
      <c r="A36" s="48" t="s">
        <v>374</v>
      </c>
      <c r="B36" s="49" t="s">
        <v>375</v>
      </c>
      <c r="C36" s="52">
        <v>139</v>
      </c>
      <c r="D36" s="65"/>
      <c r="E36" s="65"/>
      <c r="F36" s="65"/>
      <c r="G36" s="52"/>
      <c r="H36" s="53"/>
    </row>
    <row r="37" spans="1:9" ht="18.600000000000001" customHeight="1">
      <c r="A37" s="9" t="s">
        <v>10</v>
      </c>
      <c r="B37" s="34" t="s">
        <v>95</v>
      </c>
      <c r="C37" s="43">
        <v>300</v>
      </c>
      <c r="D37" s="65"/>
      <c r="E37" s="65"/>
      <c r="F37" s="65"/>
      <c r="G37" s="60" t="s">
        <v>12</v>
      </c>
      <c r="H37" s="7"/>
    </row>
    <row r="38" spans="1:9" s="47" customFormat="1" ht="50.25" customHeight="1">
      <c r="A38" s="48" t="s">
        <v>96</v>
      </c>
      <c r="B38" s="49" t="s">
        <v>97</v>
      </c>
      <c r="C38" s="50" t="s">
        <v>98</v>
      </c>
      <c r="D38" s="65"/>
      <c r="E38" s="65"/>
      <c r="F38" s="65"/>
      <c r="G38" s="52" t="s">
        <v>12</v>
      </c>
      <c r="H38" s="53"/>
    </row>
    <row r="39" spans="1:9" s="47" customFormat="1" ht="68.25" customHeight="1">
      <c r="A39" s="48" t="s">
        <v>99</v>
      </c>
      <c r="B39" s="49" t="s">
        <v>100</v>
      </c>
      <c r="C39" s="50" t="s">
        <v>101</v>
      </c>
      <c r="D39" s="65"/>
      <c r="E39" s="65"/>
      <c r="F39" s="65"/>
      <c r="G39" s="52" t="s">
        <v>12</v>
      </c>
      <c r="H39" s="53"/>
    </row>
    <row r="40" spans="1:9" s="47" customFormat="1" ht="20.25" customHeight="1">
      <c r="A40" s="48" t="s">
        <v>267</v>
      </c>
      <c r="B40" s="49" t="s">
        <v>102</v>
      </c>
      <c r="C40" s="50" t="s">
        <v>103</v>
      </c>
      <c r="D40" s="65"/>
      <c r="E40" s="65"/>
      <c r="F40" s="65"/>
      <c r="G40" s="52" t="s">
        <v>12</v>
      </c>
      <c r="H40" s="53"/>
    </row>
    <row r="41" spans="1:9" s="47" customFormat="1" ht="84.75" customHeight="1">
      <c r="A41" s="48" t="s">
        <v>104</v>
      </c>
      <c r="B41" s="49" t="s">
        <v>105</v>
      </c>
      <c r="C41" s="52">
        <v>350</v>
      </c>
      <c r="D41" s="65"/>
      <c r="E41" s="65"/>
      <c r="F41" s="65"/>
      <c r="G41" s="52" t="s">
        <v>12</v>
      </c>
      <c r="H41" s="54"/>
      <c r="I41" s="55"/>
    </row>
    <row r="42" spans="1:9" s="47" customFormat="1" ht="21" customHeight="1">
      <c r="A42" s="48" t="s">
        <v>106</v>
      </c>
      <c r="B42" s="49" t="s">
        <v>107</v>
      </c>
      <c r="C42" s="52">
        <v>360</v>
      </c>
      <c r="D42" s="65"/>
      <c r="E42" s="65"/>
      <c r="F42" s="65"/>
      <c r="G42" s="52" t="s">
        <v>12</v>
      </c>
      <c r="H42" s="54"/>
      <c r="I42" s="55"/>
    </row>
    <row r="43" spans="1:9" ht="21" customHeight="1">
      <c r="A43" s="37" t="s">
        <v>108</v>
      </c>
      <c r="B43" s="34" t="s">
        <v>109</v>
      </c>
      <c r="C43" s="43">
        <v>850</v>
      </c>
      <c r="D43" s="64">
        <f>SUM(D44:D46)</f>
        <v>304319</v>
      </c>
      <c r="E43" s="64">
        <f t="shared" ref="E43:F43" si="6">SUM(E44:E46)</f>
        <v>0</v>
      </c>
      <c r="F43" s="64">
        <f t="shared" si="6"/>
        <v>0</v>
      </c>
      <c r="G43" s="60" t="s">
        <v>12</v>
      </c>
      <c r="H43" s="7"/>
    </row>
    <row r="44" spans="1:9" ht="47.25" customHeight="1">
      <c r="A44" s="9" t="s">
        <v>268</v>
      </c>
      <c r="B44" s="34" t="s">
        <v>110</v>
      </c>
      <c r="C44" s="43">
        <v>851</v>
      </c>
      <c r="D44" s="70">
        <v>304319</v>
      </c>
      <c r="E44" s="65">
        <v>0</v>
      </c>
      <c r="F44" s="65">
        <v>0</v>
      </c>
      <c r="G44" s="60" t="s">
        <v>12</v>
      </c>
      <c r="H44" s="7"/>
    </row>
    <row r="45" spans="1:9" ht="51.75" customHeight="1">
      <c r="A45" s="9" t="s">
        <v>111</v>
      </c>
      <c r="B45" s="34" t="s">
        <v>112</v>
      </c>
      <c r="C45" s="43">
        <v>852</v>
      </c>
      <c r="D45" s="65"/>
      <c r="E45" s="65"/>
      <c r="F45" s="65"/>
      <c r="G45" s="60" t="s">
        <v>12</v>
      </c>
      <c r="H45" s="7"/>
    </row>
    <row r="46" spans="1:9" ht="34.5" customHeight="1">
      <c r="A46" s="9" t="s">
        <v>113</v>
      </c>
      <c r="B46" s="34" t="s">
        <v>114</v>
      </c>
      <c r="C46" s="43">
        <v>853</v>
      </c>
      <c r="D46" s="65"/>
      <c r="E46" s="65"/>
      <c r="F46" s="65"/>
      <c r="G46" s="60" t="s">
        <v>12</v>
      </c>
      <c r="H46" s="7"/>
    </row>
    <row r="47" spans="1:9" s="47" customFormat="1" ht="31.5">
      <c r="A47" s="48" t="s">
        <v>115</v>
      </c>
      <c r="B47" s="49" t="s">
        <v>116</v>
      </c>
      <c r="C47" s="52" t="s">
        <v>12</v>
      </c>
      <c r="D47" s="65"/>
      <c r="E47" s="65"/>
      <c r="F47" s="65"/>
      <c r="G47" s="52" t="s">
        <v>12</v>
      </c>
      <c r="H47" s="53"/>
    </row>
    <row r="48" spans="1:9" s="47" customFormat="1" ht="47.25" customHeight="1">
      <c r="A48" s="48" t="s">
        <v>347</v>
      </c>
      <c r="B48" s="49" t="s">
        <v>117</v>
      </c>
      <c r="C48" s="52">
        <v>613</v>
      </c>
      <c r="D48" s="65"/>
      <c r="E48" s="65"/>
      <c r="F48" s="65"/>
      <c r="G48" s="52" t="s">
        <v>12</v>
      </c>
      <c r="H48" s="53"/>
    </row>
    <row r="49" spans="1:8" s="47" customFormat="1" ht="47.25" customHeight="1">
      <c r="A49" s="48" t="s">
        <v>348</v>
      </c>
      <c r="B49" s="49" t="s">
        <v>349</v>
      </c>
      <c r="C49" s="52">
        <v>623</v>
      </c>
      <c r="D49" s="65"/>
      <c r="E49" s="65"/>
      <c r="F49" s="65"/>
      <c r="G49" s="52"/>
      <c r="H49" s="53"/>
    </row>
    <row r="50" spans="1:8" s="47" customFormat="1" ht="47.25" customHeight="1">
      <c r="A50" s="56" t="s">
        <v>377</v>
      </c>
      <c r="B50" s="49" t="s">
        <v>378</v>
      </c>
      <c r="C50" s="52">
        <v>634</v>
      </c>
      <c r="D50" s="51"/>
      <c r="E50" s="51"/>
      <c r="F50" s="51"/>
      <c r="G50" s="52"/>
      <c r="H50" s="53"/>
    </row>
    <row r="51" spans="1:8" s="47" customFormat="1" ht="47.25" customHeight="1">
      <c r="A51" s="56" t="s">
        <v>379</v>
      </c>
      <c r="B51" s="49" t="s">
        <v>380</v>
      </c>
      <c r="C51" s="52">
        <v>810</v>
      </c>
      <c r="D51" s="51"/>
      <c r="E51" s="51"/>
      <c r="F51" s="51"/>
      <c r="G51" s="52" t="s">
        <v>12</v>
      </c>
      <c r="H51" s="53"/>
    </row>
    <row r="52" spans="1:8" ht="35.25" customHeight="1">
      <c r="A52" s="9" t="s">
        <v>118</v>
      </c>
      <c r="B52" s="34" t="s">
        <v>119</v>
      </c>
      <c r="C52" s="43" t="s">
        <v>12</v>
      </c>
      <c r="D52" s="65"/>
      <c r="E52" s="65"/>
      <c r="F52" s="65"/>
      <c r="G52" s="60" t="s">
        <v>12</v>
      </c>
      <c r="H52" s="7"/>
    </row>
    <row r="53" spans="1:8" ht="68.25" customHeight="1">
      <c r="A53" s="9" t="s">
        <v>120</v>
      </c>
      <c r="B53" s="34" t="s">
        <v>121</v>
      </c>
      <c r="C53" s="43">
        <v>831</v>
      </c>
      <c r="D53" s="65"/>
      <c r="E53" s="65"/>
      <c r="F53" s="65"/>
      <c r="G53" s="14" t="s">
        <v>12</v>
      </c>
      <c r="H53" s="7"/>
    </row>
    <row r="54" spans="1:8" ht="33" customHeight="1">
      <c r="A54" s="37" t="s">
        <v>122</v>
      </c>
      <c r="B54" s="34" t="s">
        <v>123</v>
      </c>
      <c r="C54" s="43" t="s">
        <v>12</v>
      </c>
      <c r="D54" s="64">
        <f>D57+D58+D56</f>
        <v>10676582.59</v>
      </c>
      <c r="E54" s="64">
        <f>SUM(E55:E58)</f>
        <v>6302321</v>
      </c>
      <c r="F54" s="64">
        <f>SUM(F55:F58)</f>
        <v>6802321</v>
      </c>
      <c r="G54" s="31">
        <f>SUM(G55:G58)</f>
        <v>0</v>
      </c>
      <c r="H54" s="7"/>
    </row>
    <row r="55" spans="1:8" s="47" customFormat="1" ht="47.25">
      <c r="A55" s="56" t="s">
        <v>124</v>
      </c>
      <c r="B55" s="57">
        <v>2610</v>
      </c>
      <c r="C55" s="58">
        <v>241</v>
      </c>
      <c r="D55" s="66"/>
      <c r="E55" s="66"/>
      <c r="F55" s="66"/>
      <c r="G55" s="58"/>
    </row>
    <row r="56" spans="1:8" ht="38.25" customHeight="1">
      <c r="A56" s="37" t="s">
        <v>125</v>
      </c>
      <c r="B56" s="36">
        <v>2630</v>
      </c>
      <c r="C56" s="38">
        <v>243</v>
      </c>
      <c r="D56" s="66">
        <v>353016.74</v>
      </c>
      <c r="E56" s="66"/>
      <c r="F56" s="66"/>
      <c r="G56" s="38"/>
    </row>
    <row r="57" spans="1:8" ht="22.5" customHeight="1">
      <c r="A57" s="37" t="s">
        <v>126</v>
      </c>
      <c r="B57" s="36">
        <v>2640</v>
      </c>
      <c r="C57" s="38">
        <v>244</v>
      </c>
      <c r="D57" s="105">
        <f>8674582.92-53762.65</f>
        <v>8620820.2699999996</v>
      </c>
      <c r="E57" s="107">
        <v>5302321</v>
      </c>
      <c r="F57" s="107">
        <v>5302321</v>
      </c>
      <c r="G57" s="62">
        <v>0</v>
      </c>
    </row>
    <row r="58" spans="1:8" ht="22.5" customHeight="1">
      <c r="A58" s="37" t="s">
        <v>376</v>
      </c>
      <c r="B58" s="36">
        <v>2650</v>
      </c>
      <c r="C58" s="38">
        <v>247</v>
      </c>
      <c r="D58" s="105">
        <v>1702745.58</v>
      </c>
      <c r="E58" s="107">
        <v>1000000</v>
      </c>
      <c r="F58" s="107">
        <v>1500000</v>
      </c>
      <c r="G58" s="62"/>
    </row>
    <row r="59" spans="1:8" ht="38.25" customHeight="1">
      <c r="A59" s="37" t="s">
        <v>127</v>
      </c>
      <c r="B59" s="36">
        <v>2660</v>
      </c>
      <c r="C59" s="38">
        <v>400</v>
      </c>
      <c r="D59" s="66"/>
      <c r="E59" s="66"/>
      <c r="F59" s="66"/>
      <c r="G59" s="41"/>
    </row>
    <row r="60" spans="1:8" ht="49.5" customHeight="1">
      <c r="A60" s="37" t="s">
        <v>128</v>
      </c>
      <c r="B60" s="36">
        <v>2661</v>
      </c>
      <c r="C60" s="38">
        <v>406</v>
      </c>
      <c r="D60" s="66"/>
      <c r="E60" s="66"/>
      <c r="F60" s="66"/>
      <c r="G60" s="38"/>
    </row>
    <row r="61" spans="1:8" ht="49.5" customHeight="1">
      <c r="A61" s="37" t="s">
        <v>129</v>
      </c>
      <c r="B61" s="36">
        <v>2662</v>
      </c>
      <c r="C61" s="38">
        <v>407</v>
      </c>
      <c r="D61" s="66"/>
      <c r="E61" s="66"/>
      <c r="F61" s="66"/>
      <c r="G61" s="38"/>
    </row>
    <row r="62" spans="1:8" ht="19.5" customHeight="1">
      <c r="A62" s="39" t="s">
        <v>130</v>
      </c>
      <c r="B62" s="36">
        <v>3000</v>
      </c>
      <c r="C62" s="40" t="s">
        <v>12</v>
      </c>
      <c r="D62" s="67"/>
      <c r="E62" s="67"/>
      <c r="F62" s="67"/>
      <c r="G62" s="40" t="s">
        <v>12</v>
      </c>
    </row>
    <row r="63" spans="1:8" ht="31.5">
      <c r="A63" s="37" t="s">
        <v>131</v>
      </c>
      <c r="B63" s="36">
        <v>3010</v>
      </c>
      <c r="C63" s="38"/>
      <c r="D63" s="66"/>
      <c r="E63" s="66"/>
      <c r="F63" s="66"/>
      <c r="G63" s="38" t="s">
        <v>12</v>
      </c>
    </row>
    <row r="64" spans="1:8" ht="20.25" customHeight="1">
      <c r="A64" s="37" t="s">
        <v>132</v>
      </c>
      <c r="B64" s="36">
        <v>3020</v>
      </c>
      <c r="C64" s="38"/>
      <c r="D64" s="66"/>
      <c r="E64" s="66"/>
      <c r="F64" s="66"/>
      <c r="G64" s="38" t="s">
        <v>12</v>
      </c>
    </row>
    <row r="65" spans="1:8" ht="17.25" customHeight="1">
      <c r="A65" s="37" t="s">
        <v>133</v>
      </c>
      <c r="B65" s="36">
        <v>3030</v>
      </c>
      <c r="C65" s="38"/>
      <c r="D65" s="66"/>
      <c r="E65" s="66"/>
      <c r="F65" s="66"/>
      <c r="G65" s="38" t="s">
        <v>12</v>
      </c>
    </row>
    <row r="66" spans="1:8" ht="19.5" customHeight="1">
      <c r="A66" s="39" t="s">
        <v>134</v>
      </c>
      <c r="B66" s="36">
        <v>4000</v>
      </c>
      <c r="C66" s="40" t="s">
        <v>12</v>
      </c>
      <c r="D66" s="67"/>
      <c r="E66" s="67"/>
      <c r="F66" s="67"/>
      <c r="G66" s="40" t="s">
        <v>12</v>
      </c>
    </row>
    <row r="67" spans="1:8" ht="35.25" customHeight="1">
      <c r="A67" s="9" t="s">
        <v>135</v>
      </c>
      <c r="B67" s="34" t="s">
        <v>136</v>
      </c>
      <c r="C67" s="43">
        <v>610</v>
      </c>
      <c r="D67" s="65"/>
      <c r="E67" s="65"/>
      <c r="F67" s="65"/>
      <c r="G67" s="60" t="s">
        <v>12</v>
      </c>
      <c r="H67" s="7"/>
    </row>
    <row r="68" spans="1:8" ht="15.75">
      <c r="A68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J62"/>
  <sheetViews>
    <sheetView view="pageBreakPreview" topLeftCell="A28" zoomScale="70" zoomScaleNormal="90" zoomScaleSheetLayoutView="70" workbookViewId="0">
      <selection activeCell="F26" sqref="F26"/>
    </sheetView>
  </sheetViews>
  <sheetFormatPr defaultRowHeight="15"/>
  <cols>
    <col min="1" max="1" width="6.5703125" customWidth="1"/>
    <col min="2" max="2" width="48.28515625" customWidth="1"/>
    <col min="4" max="5" width="18.140625" customWidth="1"/>
    <col min="6" max="6" width="15.85546875" style="91" customWidth="1"/>
    <col min="7" max="7" width="15.140625" style="91" customWidth="1"/>
    <col min="8" max="8" width="14.7109375" style="91" customWidth="1"/>
    <col min="9" max="9" width="16.7109375" customWidth="1"/>
    <col min="10" max="10" width="12" bestFit="1" customWidth="1"/>
  </cols>
  <sheetData>
    <row r="1" spans="1:10">
      <c r="F1" s="91" t="b">
        <f>F15=F16+F19+F25</f>
        <v>1</v>
      </c>
      <c r="G1" s="91" t="b">
        <f t="shared" ref="G1:H1" si="0">G8=G16+G19+G25</f>
        <v>1</v>
      </c>
      <c r="H1" s="91" t="b">
        <f t="shared" si="0"/>
        <v>1</v>
      </c>
    </row>
    <row r="3" spans="1:10" ht="15.75">
      <c r="B3" s="207" t="s">
        <v>137</v>
      </c>
      <c r="C3" s="207"/>
      <c r="D3" s="207"/>
      <c r="E3" s="207"/>
      <c r="F3" s="207"/>
      <c r="G3" s="207"/>
      <c r="H3" s="207"/>
      <c r="I3" s="207"/>
    </row>
    <row r="4" spans="1:10" ht="15.75">
      <c r="B4" s="25"/>
    </row>
    <row r="5" spans="1:10" ht="20.25" customHeight="1">
      <c r="A5" s="225" t="s">
        <v>138</v>
      </c>
      <c r="B5" s="225" t="s">
        <v>3</v>
      </c>
      <c r="C5" s="216" t="s">
        <v>5</v>
      </c>
      <c r="D5" s="216" t="s">
        <v>11</v>
      </c>
      <c r="E5" s="225" t="s">
        <v>6</v>
      </c>
      <c r="F5" s="227" t="s">
        <v>46</v>
      </c>
      <c r="G5" s="228"/>
      <c r="H5" s="228"/>
      <c r="I5" s="228"/>
      <c r="J5" s="16"/>
    </row>
    <row r="6" spans="1:10" ht="72" customHeight="1">
      <c r="A6" s="226"/>
      <c r="B6" s="226"/>
      <c r="C6" s="216"/>
      <c r="D6" s="216"/>
      <c r="E6" s="226"/>
      <c r="F6" s="65" t="s">
        <v>397</v>
      </c>
      <c r="G6" s="65" t="s">
        <v>398</v>
      </c>
      <c r="H6" s="65" t="s">
        <v>399</v>
      </c>
      <c r="I6" s="26" t="s">
        <v>47</v>
      </c>
      <c r="J6" s="16"/>
    </row>
    <row r="7" spans="1:10" ht="15.75">
      <c r="A7" s="32">
        <v>1</v>
      </c>
      <c r="B7" s="32">
        <v>2</v>
      </c>
      <c r="C7" s="32">
        <v>3</v>
      </c>
      <c r="D7" s="32">
        <v>4</v>
      </c>
      <c r="E7" s="32">
        <v>5</v>
      </c>
      <c r="F7" s="109">
        <v>6</v>
      </c>
      <c r="G7" s="109">
        <v>7</v>
      </c>
      <c r="H7" s="109">
        <v>8</v>
      </c>
      <c r="I7" s="32">
        <v>9</v>
      </c>
      <c r="J7" s="16"/>
    </row>
    <row r="8" spans="1:10" ht="24" customHeight="1">
      <c r="A8" s="36">
        <v>1</v>
      </c>
      <c r="B8" s="33" t="s">
        <v>139</v>
      </c>
      <c r="C8" s="34" t="s">
        <v>140</v>
      </c>
      <c r="D8" s="8" t="s">
        <v>12</v>
      </c>
      <c r="E8" s="99"/>
      <c r="F8" s="92">
        <f>'Раздел 1'!D54</f>
        <v>10676582.59</v>
      </c>
      <c r="G8" s="92">
        <f>'Раздел 1'!E54</f>
        <v>6302321</v>
      </c>
      <c r="H8" s="92">
        <f>'Раздел 1'!F54</f>
        <v>6802321</v>
      </c>
      <c r="I8" s="46">
        <f>'Раздел 1'!G57</f>
        <v>0</v>
      </c>
      <c r="J8" s="16"/>
    </row>
    <row r="9" spans="1:10" ht="188.25" customHeight="1">
      <c r="A9" s="36" t="s">
        <v>27</v>
      </c>
      <c r="B9" s="33" t="s">
        <v>141</v>
      </c>
      <c r="C9" s="34" t="s">
        <v>142</v>
      </c>
      <c r="D9" s="8" t="s">
        <v>12</v>
      </c>
      <c r="E9" s="99"/>
      <c r="F9" s="93"/>
      <c r="G9" s="93"/>
      <c r="H9" s="93"/>
      <c r="I9" s="32"/>
      <c r="J9" s="16"/>
    </row>
    <row r="10" spans="1:10" ht="70.5" customHeight="1">
      <c r="A10" s="36" t="s">
        <v>28</v>
      </c>
      <c r="B10" s="30" t="s">
        <v>143</v>
      </c>
      <c r="C10" s="34" t="s">
        <v>144</v>
      </c>
      <c r="D10" s="8" t="s">
        <v>12</v>
      </c>
      <c r="E10" s="99"/>
      <c r="F10" s="92"/>
      <c r="G10" s="92"/>
      <c r="H10" s="92"/>
      <c r="I10" s="14"/>
      <c r="J10" s="7"/>
    </row>
    <row r="11" spans="1:10" ht="66" customHeight="1">
      <c r="A11" s="36" t="s">
        <v>29</v>
      </c>
      <c r="B11" s="30" t="s">
        <v>145</v>
      </c>
      <c r="C11" s="35" t="s">
        <v>146</v>
      </c>
      <c r="D11" s="29" t="s">
        <v>12</v>
      </c>
      <c r="E11" s="102"/>
      <c r="F11" s="94">
        <f>1020937+1393240.9</f>
        <v>2414177.9</v>
      </c>
      <c r="G11" s="94">
        <v>0</v>
      </c>
      <c r="H11" s="94">
        <v>0</v>
      </c>
      <c r="I11" s="27"/>
      <c r="J11" s="6"/>
    </row>
    <row r="12" spans="1:10" ht="30.75" customHeight="1">
      <c r="A12" s="36" t="s">
        <v>350</v>
      </c>
      <c r="B12" s="30" t="s">
        <v>351</v>
      </c>
      <c r="C12" s="35" t="s">
        <v>352</v>
      </c>
      <c r="D12" s="29" t="s">
        <v>12</v>
      </c>
      <c r="E12" s="102" t="s">
        <v>12</v>
      </c>
      <c r="F12" s="94"/>
      <c r="G12" s="94"/>
      <c r="H12" s="94"/>
      <c r="I12" s="27"/>
      <c r="J12" s="6"/>
    </row>
    <row r="13" spans="1:10" ht="33.75" customHeight="1">
      <c r="A13" s="36"/>
      <c r="B13" s="30" t="s">
        <v>353</v>
      </c>
      <c r="C13" s="35" t="s">
        <v>354</v>
      </c>
      <c r="D13" s="29"/>
      <c r="E13" s="102"/>
      <c r="F13" s="94"/>
      <c r="G13" s="94"/>
      <c r="H13" s="94"/>
      <c r="I13" s="27"/>
      <c r="J13" s="6"/>
    </row>
    <row r="14" spans="1:10" ht="27.75" customHeight="1">
      <c r="A14" s="36" t="s">
        <v>355</v>
      </c>
      <c r="B14" s="30" t="s">
        <v>356</v>
      </c>
      <c r="C14" s="35" t="s">
        <v>357</v>
      </c>
      <c r="D14" s="29" t="s">
        <v>12</v>
      </c>
      <c r="E14" s="102" t="s">
        <v>12</v>
      </c>
      <c r="F14" s="94"/>
      <c r="G14" s="94"/>
      <c r="H14" s="94"/>
      <c r="I14" s="27"/>
      <c r="J14" s="6"/>
    </row>
    <row r="15" spans="1:10" ht="63" customHeight="1">
      <c r="A15" s="36" t="s">
        <v>147</v>
      </c>
      <c r="B15" s="30" t="s">
        <v>148</v>
      </c>
      <c r="C15" s="35" t="s">
        <v>149</v>
      </c>
      <c r="D15" s="29" t="s">
        <v>12</v>
      </c>
      <c r="E15" s="102"/>
      <c r="F15" s="94">
        <f>F8-F11</f>
        <v>8262404.6899999995</v>
      </c>
      <c r="G15" s="94">
        <f t="shared" ref="G15:H15" si="1">G8-G11</f>
        <v>6302321</v>
      </c>
      <c r="H15" s="94">
        <f t="shared" si="1"/>
        <v>6802321</v>
      </c>
      <c r="I15" s="26"/>
      <c r="J15" s="6"/>
    </row>
    <row r="16" spans="1:10" ht="64.5" customHeight="1">
      <c r="A16" s="36" t="s">
        <v>150</v>
      </c>
      <c r="B16" s="30" t="s">
        <v>151</v>
      </c>
      <c r="C16" s="34" t="s">
        <v>152</v>
      </c>
      <c r="D16" s="8" t="s">
        <v>12</v>
      </c>
      <c r="E16" s="99"/>
      <c r="F16" s="92">
        <v>3462633.7</v>
      </c>
      <c r="G16" s="92">
        <v>1000000</v>
      </c>
      <c r="H16" s="92">
        <v>1500000</v>
      </c>
      <c r="I16" s="14"/>
      <c r="J16" s="7"/>
    </row>
    <row r="17" spans="1:10" ht="35.25" customHeight="1">
      <c r="A17" s="36" t="s">
        <v>153</v>
      </c>
      <c r="B17" s="30" t="s">
        <v>154</v>
      </c>
      <c r="C17" s="34" t="s">
        <v>155</v>
      </c>
      <c r="D17" s="8" t="s">
        <v>12</v>
      </c>
      <c r="E17" s="99"/>
      <c r="F17" s="92"/>
      <c r="G17" s="92"/>
      <c r="H17" s="92"/>
      <c r="I17" s="8"/>
      <c r="J17" s="7"/>
    </row>
    <row r="18" spans="1:10" ht="39" customHeight="1">
      <c r="A18" s="36" t="s">
        <v>156</v>
      </c>
      <c r="B18" s="30" t="s">
        <v>157</v>
      </c>
      <c r="C18" s="34" t="s">
        <v>158</v>
      </c>
      <c r="D18" s="8" t="s">
        <v>12</v>
      </c>
      <c r="E18" s="99"/>
      <c r="F18" s="92"/>
      <c r="G18" s="92"/>
      <c r="H18" s="92"/>
      <c r="I18" s="14"/>
      <c r="J18" s="6"/>
    </row>
    <row r="19" spans="1:10" ht="48.75" customHeight="1">
      <c r="A19" s="36" t="s">
        <v>159</v>
      </c>
      <c r="B19" s="30" t="s">
        <v>160</v>
      </c>
      <c r="C19" s="35" t="s">
        <v>161</v>
      </c>
      <c r="D19" s="29" t="s">
        <v>12</v>
      </c>
      <c r="E19" s="102"/>
      <c r="F19" s="94">
        <v>637703.98</v>
      </c>
      <c r="G19" s="94">
        <v>0</v>
      </c>
      <c r="H19" s="94">
        <v>0</v>
      </c>
      <c r="I19" s="26"/>
      <c r="J19" s="6"/>
    </row>
    <row r="20" spans="1:10" ht="33.75" customHeight="1">
      <c r="A20" s="36" t="s">
        <v>162</v>
      </c>
      <c r="B20" s="30" t="s">
        <v>154</v>
      </c>
      <c r="C20" s="34" t="s">
        <v>163</v>
      </c>
      <c r="D20" s="8" t="s">
        <v>12</v>
      </c>
      <c r="E20" s="99"/>
      <c r="F20" s="92"/>
      <c r="G20" s="92"/>
      <c r="H20" s="92"/>
      <c r="I20" s="14"/>
      <c r="J20" s="6"/>
    </row>
    <row r="21" spans="1:10" ht="33.75" customHeight="1">
      <c r="A21" s="36"/>
      <c r="B21" s="30" t="s">
        <v>353</v>
      </c>
      <c r="C21" s="34" t="s">
        <v>358</v>
      </c>
      <c r="D21" s="99" t="s">
        <v>12</v>
      </c>
      <c r="E21" s="99"/>
      <c r="F21" s="92"/>
      <c r="G21" s="92"/>
      <c r="H21" s="92"/>
      <c r="I21" s="14"/>
      <c r="J21" s="6"/>
    </row>
    <row r="22" spans="1:10" ht="21" customHeight="1">
      <c r="A22" s="36" t="s">
        <v>164</v>
      </c>
      <c r="B22" s="30" t="s">
        <v>165</v>
      </c>
      <c r="C22" s="34" t="s">
        <v>166</v>
      </c>
      <c r="D22" s="8" t="s">
        <v>12</v>
      </c>
      <c r="E22" s="99"/>
      <c r="F22" s="92"/>
      <c r="G22" s="92"/>
      <c r="H22" s="92"/>
      <c r="I22" s="8"/>
      <c r="J22" s="6"/>
    </row>
    <row r="23" spans="1:10" ht="36" customHeight="1">
      <c r="A23" s="36" t="s">
        <v>167</v>
      </c>
      <c r="B23" s="30" t="s">
        <v>168</v>
      </c>
      <c r="C23" s="34" t="s">
        <v>169</v>
      </c>
      <c r="D23" s="8" t="s">
        <v>12</v>
      </c>
      <c r="E23" s="99"/>
      <c r="F23" s="92"/>
      <c r="G23" s="92"/>
      <c r="H23" s="92"/>
      <c r="I23" s="8"/>
      <c r="J23" s="6"/>
    </row>
    <row r="24" spans="1:10" ht="36" customHeight="1">
      <c r="A24" s="36"/>
      <c r="B24" s="30" t="s">
        <v>353</v>
      </c>
      <c r="C24" s="34" t="s">
        <v>359</v>
      </c>
      <c r="D24" s="99" t="s">
        <v>12</v>
      </c>
      <c r="E24" s="99"/>
      <c r="F24" s="92"/>
      <c r="G24" s="92"/>
      <c r="H24" s="92"/>
      <c r="I24" s="99"/>
      <c r="J24" s="6"/>
    </row>
    <row r="25" spans="1:10" ht="30" customHeight="1">
      <c r="A25" s="36" t="s">
        <v>170</v>
      </c>
      <c r="B25" s="30" t="s">
        <v>171</v>
      </c>
      <c r="C25" s="34" t="s">
        <v>172</v>
      </c>
      <c r="D25" s="8" t="s">
        <v>12</v>
      </c>
      <c r="E25" s="99"/>
      <c r="F25" s="92">
        <f>6630007.56-F11-53762.65</f>
        <v>4162067.0100000002</v>
      </c>
      <c r="G25" s="92">
        <v>5302321</v>
      </c>
      <c r="H25" s="92">
        <v>5302321</v>
      </c>
      <c r="I25" s="14"/>
      <c r="J25" s="7"/>
    </row>
    <row r="26" spans="1:10" ht="32.25" customHeight="1">
      <c r="A26" s="36" t="s">
        <v>173</v>
      </c>
      <c r="B26" s="30" t="s">
        <v>154</v>
      </c>
      <c r="C26" s="35" t="s">
        <v>174</v>
      </c>
      <c r="D26" s="29" t="s">
        <v>12</v>
      </c>
      <c r="E26" s="102"/>
      <c r="F26" s="94"/>
      <c r="G26" s="94"/>
      <c r="H26" s="94"/>
      <c r="I26" s="26"/>
      <c r="J26" s="6"/>
    </row>
    <row r="27" spans="1:10" ht="32.25" customHeight="1">
      <c r="A27" s="36"/>
      <c r="B27" s="30" t="s">
        <v>353</v>
      </c>
      <c r="C27" s="35" t="s">
        <v>360</v>
      </c>
      <c r="D27" s="29" t="s">
        <v>12</v>
      </c>
      <c r="E27" s="102"/>
      <c r="F27" s="94"/>
      <c r="G27" s="94"/>
      <c r="H27" s="94"/>
      <c r="I27" s="100"/>
      <c r="J27" s="6"/>
    </row>
    <row r="28" spans="1:10" ht="19.5" customHeight="1">
      <c r="A28" s="36" t="s">
        <v>175</v>
      </c>
      <c r="B28" s="30" t="s">
        <v>157</v>
      </c>
      <c r="C28" s="34" t="s">
        <v>176</v>
      </c>
      <c r="D28" s="8" t="s">
        <v>12</v>
      </c>
      <c r="E28" s="99"/>
      <c r="F28" s="92"/>
      <c r="G28" s="92"/>
      <c r="H28" s="92"/>
      <c r="I28" s="14"/>
      <c r="J28" s="6"/>
    </row>
    <row r="29" spans="1:10" ht="69" customHeight="1">
      <c r="A29" s="36" t="s">
        <v>177</v>
      </c>
      <c r="B29" s="30" t="s">
        <v>178</v>
      </c>
      <c r="C29" s="35" t="s">
        <v>179</v>
      </c>
      <c r="D29" s="29" t="s">
        <v>12</v>
      </c>
      <c r="E29" s="102"/>
      <c r="F29" s="94">
        <f>F15</f>
        <v>8262404.6899999995</v>
      </c>
      <c r="G29" s="94">
        <f t="shared" ref="G29:H29" si="2">G15</f>
        <v>6302321</v>
      </c>
      <c r="H29" s="94">
        <f t="shared" si="2"/>
        <v>6802321</v>
      </c>
      <c r="I29" s="26"/>
      <c r="J29" s="6"/>
    </row>
    <row r="30" spans="1:10" ht="18.75" customHeight="1">
      <c r="A30" s="36"/>
      <c r="B30" s="26" t="s">
        <v>180</v>
      </c>
      <c r="C30" s="35" t="s">
        <v>181</v>
      </c>
      <c r="D30" s="29"/>
      <c r="E30" s="102"/>
      <c r="F30" s="94"/>
      <c r="G30" s="94"/>
      <c r="H30" s="94"/>
      <c r="I30" s="26"/>
      <c r="J30" s="6"/>
    </row>
    <row r="31" spans="1:10" ht="72" customHeight="1">
      <c r="A31" s="36" t="s">
        <v>182</v>
      </c>
      <c r="B31" s="30" t="s">
        <v>183</v>
      </c>
      <c r="C31" s="35" t="s">
        <v>184</v>
      </c>
      <c r="D31" s="29" t="s">
        <v>12</v>
      </c>
      <c r="E31" s="102"/>
      <c r="F31" s="94">
        <v>0</v>
      </c>
      <c r="G31" s="94">
        <v>0</v>
      </c>
      <c r="H31" s="94">
        <v>0</v>
      </c>
      <c r="I31" s="27"/>
      <c r="J31" s="6"/>
    </row>
    <row r="32" spans="1:10" ht="20.25" customHeight="1">
      <c r="A32" s="36"/>
      <c r="B32" s="26" t="s">
        <v>180</v>
      </c>
      <c r="C32" s="35" t="s">
        <v>185</v>
      </c>
      <c r="D32" s="29"/>
      <c r="E32" s="102"/>
      <c r="F32" s="94"/>
      <c r="G32" s="94"/>
      <c r="H32" s="94"/>
      <c r="I32" s="8"/>
      <c r="J32" s="6"/>
    </row>
    <row r="33" spans="1:9" ht="15.75">
      <c r="A33" s="2"/>
      <c r="B33" s="5"/>
      <c r="C33" s="2"/>
      <c r="D33" s="2"/>
      <c r="E33" s="2"/>
      <c r="F33" s="95"/>
      <c r="G33" s="95"/>
      <c r="H33" s="95"/>
      <c r="I33" s="2"/>
    </row>
    <row r="34" spans="1:9" ht="15.75">
      <c r="A34" s="2"/>
      <c r="B34" s="5"/>
      <c r="C34" s="2"/>
      <c r="D34" s="2"/>
      <c r="E34" s="2"/>
      <c r="F34" s="95"/>
      <c r="G34" s="95"/>
      <c r="H34" s="95"/>
      <c r="I34" s="2"/>
    </row>
    <row r="35" spans="1:9" ht="15.75">
      <c r="A35" s="2"/>
      <c r="B35" s="2" t="s">
        <v>186</v>
      </c>
      <c r="C35" s="223" t="s">
        <v>433</v>
      </c>
      <c r="D35" s="223"/>
      <c r="E35" s="103"/>
      <c r="F35" s="95"/>
      <c r="G35" s="95"/>
      <c r="H35" s="95"/>
      <c r="I35" s="2"/>
    </row>
    <row r="36" spans="1:9" ht="12.75" customHeight="1">
      <c r="A36" s="2"/>
      <c r="B36" s="222" t="s">
        <v>187</v>
      </c>
      <c r="C36" s="222"/>
      <c r="D36" s="222"/>
      <c r="E36" s="101"/>
      <c r="F36" s="95"/>
      <c r="G36" s="95"/>
      <c r="H36" s="95"/>
      <c r="I36" s="2"/>
    </row>
    <row r="37" spans="1:9" ht="15.75">
      <c r="A37" s="2"/>
      <c r="B37" s="2"/>
      <c r="C37" s="2"/>
      <c r="D37" s="2"/>
      <c r="E37" s="2"/>
      <c r="F37" s="95"/>
      <c r="G37" s="95"/>
      <c r="H37" s="95"/>
      <c r="I37" s="2"/>
    </row>
    <row r="38" spans="1:9" ht="15.75">
      <c r="A38" s="2"/>
      <c r="B38" s="2" t="s">
        <v>407</v>
      </c>
      <c r="D38" s="223" t="s">
        <v>436</v>
      </c>
      <c r="E38" s="223"/>
      <c r="F38" s="223"/>
      <c r="G38" s="96"/>
      <c r="H38" s="95"/>
      <c r="I38" s="2"/>
    </row>
    <row r="39" spans="1:9" ht="15.75" customHeight="1">
      <c r="A39" s="2"/>
      <c r="B39" s="224" t="s">
        <v>341</v>
      </c>
      <c r="C39" s="224"/>
      <c r="D39" s="224"/>
      <c r="E39" s="224"/>
      <c r="F39" s="224"/>
      <c r="G39" s="224"/>
      <c r="H39" s="95"/>
      <c r="I39" s="2"/>
    </row>
    <row r="40" spans="1:9" ht="15.75">
      <c r="A40" s="2"/>
      <c r="B40" s="2"/>
      <c r="C40" s="2"/>
      <c r="D40" s="2"/>
      <c r="E40" s="2"/>
      <c r="F40" s="95"/>
      <c r="G40" s="95"/>
      <c r="H40" s="95"/>
      <c r="I40" s="2"/>
    </row>
    <row r="41" spans="1:9" ht="15.75">
      <c r="A41" s="2"/>
      <c r="B41" s="2" t="s">
        <v>408</v>
      </c>
      <c r="C41" s="2"/>
      <c r="D41" s="2"/>
      <c r="E41" s="2"/>
      <c r="F41" s="95"/>
      <c r="G41" s="95"/>
      <c r="H41" s="95"/>
      <c r="I41" s="2"/>
    </row>
    <row r="42" spans="1:9" ht="15.75">
      <c r="A42" s="2"/>
      <c r="B42" s="2"/>
      <c r="C42" s="2"/>
      <c r="D42" s="2"/>
      <c r="E42" s="2"/>
      <c r="F42" s="95"/>
      <c r="G42" s="95"/>
      <c r="H42" s="95"/>
      <c r="I42" s="2"/>
    </row>
    <row r="43" spans="1:9" ht="15.75">
      <c r="A43" s="2"/>
      <c r="B43" s="217" t="s">
        <v>188</v>
      </c>
      <c r="C43" s="217"/>
      <c r="D43" s="217"/>
      <c r="E43" s="217"/>
      <c r="F43" s="217"/>
      <c r="G43" s="2"/>
      <c r="H43" s="2"/>
      <c r="I43" s="2"/>
    </row>
    <row r="44" spans="1:9" s="164" customFormat="1" ht="35.25" customHeight="1">
      <c r="A44" s="17"/>
      <c r="B44" s="218" t="s">
        <v>432</v>
      </c>
      <c r="C44" s="218"/>
      <c r="D44" s="218"/>
      <c r="E44" s="218"/>
      <c r="F44" s="218"/>
      <c r="G44" s="17"/>
      <c r="H44" s="17"/>
      <c r="I44" s="17"/>
    </row>
    <row r="45" spans="1:9" ht="15.75">
      <c r="A45" s="2"/>
      <c r="B45" s="219" t="s">
        <v>189</v>
      </c>
      <c r="C45" s="219"/>
      <c r="D45" s="219"/>
      <c r="E45" s="219"/>
      <c r="F45" s="219"/>
      <c r="G45" s="2"/>
      <c r="H45" s="2"/>
      <c r="I45" s="2"/>
    </row>
    <row r="46" spans="1:9" ht="15.75">
      <c r="A46" s="2"/>
      <c r="B46" s="220" t="s">
        <v>417</v>
      </c>
      <c r="C46" s="220"/>
      <c r="D46" s="220"/>
      <c r="E46" s="220"/>
      <c r="F46" s="220"/>
      <c r="G46" s="2"/>
      <c r="H46" s="2"/>
      <c r="I46" s="2"/>
    </row>
    <row r="47" spans="1:9" ht="15.75">
      <c r="A47" s="2"/>
      <c r="B47" s="221" t="s">
        <v>190</v>
      </c>
      <c r="C47" s="221"/>
      <c r="D47" s="221"/>
      <c r="E47" s="221"/>
      <c r="F47" s="221"/>
      <c r="G47" s="2"/>
      <c r="H47" s="2"/>
      <c r="I47" s="2"/>
    </row>
    <row r="48" spans="1:9" ht="15.75">
      <c r="A48" s="2"/>
      <c r="B48" s="217" t="s">
        <v>418</v>
      </c>
      <c r="C48" s="217"/>
      <c r="D48" s="217"/>
      <c r="E48" s="217"/>
      <c r="F48" s="217"/>
      <c r="G48" s="2"/>
      <c r="H48" s="2"/>
      <c r="I48" s="2"/>
    </row>
    <row r="49" spans="1:9" ht="15.75">
      <c r="A49" s="2"/>
      <c r="B49" s="2"/>
      <c r="C49" s="2"/>
      <c r="D49" s="2"/>
      <c r="E49" s="2"/>
      <c r="F49" s="95"/>
      <c r="G49" s="95"/>
      <c r="H49" s="95"/>
      <c r="I49" s="2"/>
    </row>
    <row r="50" spans="1:9" ht="15.75">
      <c r="A50" s="2"/>
      <c r="B50" s="2"/>
      <c r="C50" s="2"/>
      <c r="D50" s="2"/>
      <c r="E50" s="2"/>
      <c r="F50" s="95"/>
      <c r="G50" s="95"/>
      <c r="H50" s="95"/>
      <c r="I50" s="2"/>
    </row>
    <row r="51" spans="1:9">
      <c r="A51" s="42"/>
      <c r="B51" s="42"/>
      <c r="C51" s="42"/>
      <c r="D51" s="42"/>
      <c r="E51" s="42"/>
      <c r="F51" s="97"/>
      <c r="G51" s="97"/>
      <c r="H51" s="97"/>
      <c r="I51" s="42"/>
    </row>
    <row r="52" spans="1:9">
      <c r="A52" s="42"/>
      <c r="B52" s="42"/>
      <c r="C52" s="42"/>
      <c r="D52" s="42"/>
      <c r="E52" s="42"/>
      <c r="F52" s="97"/>
      <c r="G52" s="97"/>
      <c r="H52" s="97"/>
      <c r="I52" s="42"/>
    </row>
    <row r="53" spans="1:9">
      <c r="A53" s="42"/>
      <c r="B53" s="42"/>
      <c r="C53" s="42"/>
      <c r="D53" s="42"/>
      <c r="E53" s="42"/>
      <c r="F53" s="97"/>
      <c r="G53" s="97"/>
      <c r="H53" s="97"/>
      <c r="I53" s="42"/>
    </row>
    <row r="54" spans="1:9">
      <c r="A54" s="42"/>
      <c r="B54" s="42"/>
      <c r="C54" s="42"/>
      <c r="D54" s="42"/>
      <c r="E54" s="42"/>
      <c r="F54" s="97"/>
      <c r="G54" s="97"/>
      <c r="H54" s="97"/>
      <c r="I54" s="42"/>
    </row>
    <row r="55" spans="1:9">
      <c r="A55" s="42"/>
      <c r="B55" s="42"/>
      <c r="C55" s="42"/>
      <c r="D55" s="42"/>
      <c r="E55" s="42"/>
      <c r="F55" s="97"/>
      <c r="G55" s="97"/>
      <c r="H55" s="97"/>
      <c r="I55" s="42"/>
    </row>
    <row r="56" spans="1:9">
      <c r="A56" s="42"/>
      <c r="B56" s="42"/>
      <c r="C56" s="42"/>
      <c r="D56" s="42"/>
      <c r="E56" s="42"/>
      <c r="F56" s="97"/>
      <c r="G56" s="97"/>
      <c r="H56" s="97"/>
      <c r="I56" s="42"/>
    </row>
    <row r="57" spans="1:9">
      <c r="A57" s="42"/>
      <c r="B57" s="42"/>
      <c r="C57" s="42"/>
      <c r="D57" s="42"/>
      <c r="E57" s="42"/>
      <c r="F57" s="97"/>
      <c r="G57" s="97"/>
      <c r="H57" s="97"/>
      <c r="I57" s="42"/>
    </row>
    <row r="58" spans="1:9">
      <c r="A58" s="42"/>
      <c r="B58" s="42"/>
      <c r="C58" s="42"/>
      <c r="D58" s="42"/>
      <c r="E58" s="42"/>
      <c r="F58" s="97"/>
      <c r="G58" s="97"/>
      <c r="H58" s="97"/>
      <c r="I58" s="42"/>
    </row>
    <row r="59" spans="1:9">
      <c r="A59" s="42"/>
      <c r="B59" s="42"/>
      <c r="C59" s="42"/>
      <c r="D59" s="42"/>
      <c r="E59" s="42"/>
      <c r="F59" s="97"/>
      <c r="G59" s="97"/>
      <c r="H59" s="97"/>
      <c r="I59" s="42"/>
    </row>
    <row r="60" spans="1:9">
      <c r="A60" s="42"/>
      <c r="B60" s="42"/>
      <c r="C60" s="42"/>
      <c r="D60" s="42"/>
      <c r="E60" s="42"/>
      <c r="F60" s="97"/>
      <c r="G60" s="97"/>
      <c r="H60" s="97"/>
      <c r="I60" s="42"/>
    </row>
    <row r="61" spans="1:9">
      <c r="A61" s="42"/>
      <c r="B61" s="42"/>
      <c r="C61" s="42"/>
      <c r="D61" s="42"/>
      <c r="E61" s="42"/>
      <c r="F61" s="97"/>
      <c r="G61" s="97"/>
      <c r="H61" s="97"/>
      <c r="I61" s="42"/>
    </row>
    <row r="62" spans="1:9">
      <c r="A62" s="42"/>
      <c r="B62" s="42"/>
      <c r="C62" s="42"/>
      <c r="D62" s="42"/>
      <c r="E62" s="42"/>
      <c r="F62" s="97"/>
      <c r="G62" s="97"/>
      <c r="H62" s="97"/>
      <c r="I62" s="42"/>
    </row>
  </sheetData>
  <mergeCells count="17">
    <mergeCell ref="A5:A6"/>
    <mergeCell ref="B5:B6"/>
    <mergeCell ref="C5:C6"/>
    <mergeCell ref="D5:D6"/>
    <mergeCell ref="F5:I5"/>
    <mergeCell ref="E5:E6"/>
    <mergeCell ref="B3:I3"/>
    <mergeCell ref="B36:D36"/>
    <mergeCell ref="C35:D35"/>
    <mergeCell ref="B39:G39"/>
    <mergeCell ref="D38:F38"/>
    <mergeCell ref="B48:F48"/>
    <mergeCell ref="B43:F43"/>
    <mergeCell ref="B44:F44"/>
    <mergeCell ref="B45:F45"/>
    <mergeCell ref="B46:F46"/>
    <mergeCell ref="B47:F4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B1:V399779"/>
  <sheetViews>
    <sheetView topLeftCell="A266" zoomScale="60" zoomScaleNormal="60" zoomScaleSheetLayoutView="50" workbookViewId="0">
      <selection activeCell="H287" sqref="H287"/>
    </sheetView>
  </sheetViews>
  <sheetFormatPr defaultColWidth="9.140625" defaultRowHeight="15" outlineLevelRow="1"/>
  <cols>
    <col min="1" max="1" width="3.85546875" style="72" customWidth="1"/>
    <col min="2" max="3" width="9.28515625" style="72" bestFit="1" customWidth="1"/>
    <col min="4" max="4" width="25.5703125" style="72" customWidth="1"/>
    <col min="5" max="5" width="11.85546875" style="72" customWidth="1"/>
    <col min="6" max="6" width="14.140625" style="72" customWidth="1"/>
    <col min="7" max="7" width="14.28515625" style="72" customWidth="1"/>
    <col min="8" max="8" width="16.5703125" style="72" customWidth="1"/>
    <col min="9" max="9" width="16.28515625" style="72" customWidth="1"/>
    <col min="10" max="10" width="11.42578125" style="72" customWidth="1"/>
    <col min="11" max="11" width="14" style="72" customWidth="1"/>
    <col min="12" max="12" width="14.5703125" style="72" customWidth="1"/>
    <col min="13" max="13" width="18" style="72" customWidth="1"/>
    <col min="14" max="14" width="14.85546875" style="72" customWidth="1"/>
    <col min="15" max="15" width="14.7109375" style="72" customWidth="1"/>
    <col min="16" max="16" width="12.85546875" style="72" customWidth="1"/>
    <col min="17" max="17" width="16" style="72" customWidth="1"/>
    <col min="18" max="18" width="12" style="72" customWidth="1"/>
    <col min="19" max="19" width="25.42578125" style="72" customWidth="1"/>
    <col min="20" max="20" width="13" style="72" customWidth="1"/>
    <col min="21" max="21" width="19.85546875" style="72" customWidth="1"/>
    <col min="22" max="22" width="18.7109375" style="72" customWidth="1"/>
    <col min="23" max="23" width="16.85546875" style="72" customWidth="1"/>
    <col min="24" max="16384" width="9.140625" style="72"/>
  </cols>
  <sheetData>
    <row r="1" spans="2:22" ht="15" customHeight="1"/>
    <row r="2" spans="2:22" ht="15" customHeight="1"/>
    <row r="3" spans="2:22" ht="71.25" customHeight="1">
      <c r="B3" s="74"/>
      <c r="C3" s="269" t="s">
        <v>400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</row>
    <row r="4" spans="2:22" ht="15.75">
      <c r="B4" s="74"/>
      <c r="C4" s="74"/>
      <c r="D4" s="74"/>
      <c r="E4" s="73"/>
      <c r="F4" s="73"/>
      <c r="G4" s="73"/>
      <c r="H4" s="73"/>
      <c r="I4" s="73"/>
      <c r="J4" s="73"/>
      <c r="K4" s="73"/>
      <c r="L4" s="73"/>
      <c r="M4" s="73"/>
    </row>
    <row r="5" spans="2:22" ht="15.75" customHeight="1">
      <c r="B5" s="74"/>
      <c r="C5" s="275" t="s">
        <v>266</v>
      </c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</row>
    <row r="6" spans="2:22" ht="15.75">
      <c r="B6" s="74"/>
      <c r="C6" s="74"/>
      <c r="D6" s="74"/>
      <c r="E6" s="73"/>
      <c r="F6" s="73"/>
      <c r="G6" s="73"/>
      <c r="H6" s="73"/>
      <c r="I6" s="73"/>
      <c r="J6" s="73"/>
      <c r="K6" s="73"/>
      <c r="L6" s="73"/>
      <c r="M6" s="73"/>
    </row>
    <row r="7" spans="2:22" ht="15.75" customHeight="1">
      <c r="B7" s="74"/>
      <c r="C7" s="275" t="s">
        <v>251</v>
      </c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</row>
    <row r="8" spans="2:22" ht="15.75"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2:22" ht="63" customHeight="1">
      <c r="B9" s="259" t="s">
        <v>191</v>
      </c>
      <c r="C9" s="260" t="s">
        <v>2</v>
      </c>
      <c r="D9" s="259" t="s">
        <v>202</v>
      </c>
      <c r="E9" s="259" t="s">
        <v>321</v>
      </c>
      <c r="F9" s="259" t="s">
        <v>18</v>
      </c>
      <c r="G9" s="259"/>
      <c r="H9" s="259"/>
      <c r="I9" s="259"/>
      <c r="J9" s="260" t="s">
        <v>19</v>
      </c>
      <c r="K9" s="169" t="s">
        <v>192</v>
      </c>
      <c r="L9" s="259" t="s">
        <v>193</v>
      </c>
      <c r="M9" s="259"/>
      <c r="N9" s="259"/>
      <c r="O9" s="259"/>
      <c r="P9" s="259"/>
    </row>
    <row r="10" spans="2:22" ht="94.5" customHeight="1">
      <c r="B10" s="259"/>
      <c r="C10" s="304"/>
      <c r="D10" s="259"/>
      <c r="E10" s="259"/>
      <c r="F10" s="259" t="s">
        <v>7</v>
      </c>
      <c r="G10" s="259" t="s">
        <v>4</v>
      </c>
      <c r="H10" s="259"/>
      <c r="I10" s="259"/>
      <c r="J10" s="304"/>
      <c r="K10" s="260" t="s">
        <v>247</v>
      </c>
      <c r="L10" s="259" t="s">
        <v>194</v>
      </c>
      <c r="M10" s="258" t="s">
        <v>195</v>
      </c>
      <c r="N10" s="259" t="s">
        <v>196</v>
      </c>
      <c r="O10" s="259" t="s">
        <v>197</v>
      </c>
      <c r="P10" s="259"/>
    </row>
    <row r="11" spans="2:22" ht="87.75" customHeight="1">
      <c r="B11" s="259"/>
      <c r="C11" s="261"/>
      <c r="D11" s="259"/>
      <c r="E11" s="259"/>
      <c r="F11" s="259"/>
      <c r="G11" s="169" t="s">
        <v>20</v>
      </c>
      <c r="H11" s="169" t="s">
        <v>21</v>
      </c>
      <c r="I11" s="169" t="s">
        <v>22</v>
      </c>
      <c r="J11" s="261"/>
      <c r="K11" s="261"/>
      <c r="L11" s="259"/>
      <c r="M11" s="258"/>
      <c r="N11" s="259"/>
      <c r="O11" s="169" t="s">
        <v>14</v>
      </c>
      <c r="P11" s="169" t="s">
        <v>198</v>
      </c>
      <c r="Q11" s="117"/>
      <c r="R11" s="117"/>
      <c r="S11" s="117"/>
      <c r="T11" s="89" t="s">
        <v>322</v>
      </c>
      <c r="U11" s="118">
        <v>0</v>
      </c>
    </row>
    <row r="12" spans="2:22" ht="15.75">
      <c r="B12" s="169">
        <v>1</v>
      </c>
      <c r="C12" s="169">
        <v>2</v>
      </c>
      <c r="D12" s="169">
        <v>3</v>
      </c>
      <c r="E12" s="169">
        <v>4</v>
      </c>
      <c r="F12" s="169">
        <v>5</v>
      </c>
      <c r="G12" s="169">
        <v>6</v>
      </c>
      <c r="H12" s="169">
        <v>7</v>
      </c>
      <c r="I12" s="169">
        <v>8</v>
      </c>
      <c r="J12" s="169">
        <v>9</v>
      </c>
      <c r="K12" s="169">
        <v>10</v>
      </c>
      <c r="L12" s="169">
        <v>11</v>
      </c>
      <c r="M12" s="169">
        <v>12</v>
      </c>
      <c r="N12" s="169">
        <v>13</v>
      </c>
      <c r="O12" s="169">
        <v>14</v>
      </c>
      <c r="P12" s="169">
        <v>15</v>
      </c>
      <c r="Q12" s="117"/>
      <c r="R12" s="117"/>
      <c r="S12" s="117"/>
      <c r="T12" s="89" t="s">
        <v>323</v>
      </c>
      <c r="U12" s="118">
        <v>19056743.879999999</v>
      </c>
      <c r="V12" s="72">
        <f>F14*E14</f>
        <v>273372.06299999997</v>
      </c>
    </row>
    <row r="13" spans="2:22" ht="36.75" hidden="1" customHeight="1">
      <c r="B13" s="172">
        <v>111</v>
      </c>
      <c r="C13" s="172" t="s">
        <v>199</v>
      </c>
      <c r="D13" s="76" t="s">
        <v>320</v>
      </c>
      <c r="E13" s="172"/>
      <c r="F13" s="65">
        <f>G13+H13+I13</f>
        <v>0</v>
      </c>
      <c r="G13" s="172">
        <v>0</v>
      </c>
      <c r="H13" s="65">
        <v>0</v>
      </c>
      <c r="I13" s="172">
        <v>0</v>
      </c>
      <c r="J13" s="172">
        <f xml:space="preserve"> ROUND((F13*15%),2)</f>
        <v>0</v>
      </c>
      <c r="K13" s="65">
        <v>0</v>
      </c>
      <c r="L13" s="65">
        <f>K13-O13</f>
        <v>0</v>
      </c>
      <c r="M13" s="65" t="s">
        <v>241</v>
      </c>
      <c r="N13" s="65" t="s">
        <v>241</v>
      </c>
      <c r="O13" s="172">
        <v>0</v>
      </c>
      <c r="P13" s="65" t="s">
        <v>241</v>
      </c>
      <c r="Q13" s="68">
        <v>0</v>
      </c>
      <c r="R13" s="68"/>
      <c r="S13" s="63">
        <f>Q13-K13</f>
        <v>0</v>
      </c>
      <c r="T13" s="89" t="s">
        <v>324</v>
      </c>
      <c r="U13" s="119"/>
    </row>
    <row r="14" spans="2:22" ht="36.75" customHeight="1">
      <c r="B14" s="172">
        <v>111</v>
      </c>
      <c r="C14" s="172">
        <v>1</v>
      </c>
      <c r="D14" s="76" t="s">
        <v>335</v>
      </c>
      <c r="E14" s="172">
        <v>21.7</v>
      </c>
      <c r="F14" s="65">
        <f>G14+H14+I14</f>
        <v>12597.790921658985</v>
      </c>
      <c r="G14" s="65">
        <f>36400/E14</f>
        <v>1677.4193548387098</v>
      </c>
      <c r="H14" s="65">
        <f>(1200+8825)/E14</f>
        <v>461.9815668202765</v>
      </c>
      <c r="I14" s="65">
        <f>5637.13-3344.69+6678.69-660.59+517.68+1630.17</f>
        <v>10458.39</v>
      </c>
      <c r="J14" s="65">
        <f xml:space="preserve"> ROUND((F14*15%),2)</f>
        <v>1889.67</v>
      </c>
      <c r="K14" s="65">
        <f>ROUND(((F14+J14)*12*E14),2)+1.35-0.05+0.41-0.57+0.41-2.04</f>
        <v>3772534.3300000005</v>
      </c>
      <c r="L14" s="65">
        <f>K14-O14</f>
        <v>3674876.1600000006</v>
      </c>
      <c r="M14" s="65" t="s">
        <v>241</v>
      </c>
      <c r="N14" s="65" t="s">
        <v>241</v>
      </c>
      <c r="O14" s="172">
        <f>U15</f>
        <v>97658.17</v>
      </c>
      <c r="P14" s="65" t="s">
        <v>241</v>
      </c>
      <c r="Q14" s="68">
        <f>U16-Q15-Q16</f>
        <v>3772534.330000001</v>
      </c>
      <c r="R14" s="68">
        <f>S14/1.15/12/E14</f>
        <v>0</v>
      </c>
      <c r="S14" s="63">
        <f>Q14-K14</f>
        <v>0</v>
      </c>
      <c r="T14" s="89" t="s">
        <v>325</v>
      </c>
      <c r="U14" s="119"/>
    </row>
    <row r="15" spans="2:22" ht="34.5" customHeight="1">
      <c r="B15" s="172">
        <v>111</v>
      </c>
      <c r="C15" s="172">
        <v>2</v>
      </c>
      <c r="D15" s="76" t="s">
        <v>200</v>
      </c>
      <c r="E15" s="172">
        <v>31.8</v>
      </c>
      <c r="F15" s="65">
        <f t="shared" ref="F15:F16" si="0">G15+H15+I15</f>
        <v>32252.640880503146</v>
      </c>
      <c r="G15" s="65">
        <f>(138840+34160+364000+79840)/E15</f>
        <v>19397.484276729559</v>
      </c>
      <c r="H15" s="65">
        <f>(936+5088.72)/E15</f>
        <v>189.4566037735849</v>
      </c>
      <c r="I15" s="65">
        <v>12665.7</v>
      </c>
      <c r="J15" s="65">
        <f xml:space="preserve"> ROUND((F15*15%),2)</f>
        <v>4837.8999999999996</v>
      </c>
      <c r="K15" s="65">
        <f>ROUND(((F15+J15)*12*E15),2)+0.12</f>
        <v>14153750.52</v>
      </c>
      <c r="L15" s="65">
        <f t="shared" ref="L15" si="1">K15-O15</f>
        <v>14153750.52</v>
      </c>
      <c r="M15" s="65" t="s">
        <v>241</v>
      </c>
      <c r="N15" s="65" t="s">
        <v>241</v>
      </c>
      <c r="O15" s="172">
        <v>0</v>
      </c>
      <c r="P15" s="65" t="s">
        <v>241</v>
      </c>
      <c r="Q15" s="68">
        <f>(18678.3+332473.74+79756.34+562161.4+186409.43)*12</f>
        <v>14153750.52</v>
      </c>
      <c r="R15" s="68">
        <f t="shared" ref="R15" si="2">S15/1.15/12/E15</f>
        <v>0</v>
      </c>
      <c r="S15" s="63">
        <f t="shared" ref="S15" si="3">Q15-K15</f>
        <v>0</v>
      </c>
      <c r="T15" s="89" t="s">
        <v>292</v>
      </c>
      <c r="U15" s="120">
        <v>97658.17</v>
      </c>
    </row>
    <row r="16" spans="2:22" ht="50.25" customHeight="1">
      <c r="B16" s="172">
        <v>111</v>
      </c>
      <c r="C16" s="172">
        <v>3</v>
      </c>
      <c r="D16" s="76" t="s">
        <v>201</v>
      </c>
      <c r="E16" s="172">
        <f>2.2+0.8</f>
        <v>3</v>
      </c>
      <c r="F16" s="65">
        <f t="shared" si="0"/>
        <v>29664.666666666668</v>
      </c>
      <c r="G16" s="65">
        <f>(12801+49949)/E16</f>
        <v>20916.666666666668</v>
      </c>
      <c r="H16" s="65">
        <f>(2635.5+1129.5)/E16</f>
        <v>1255</v>
      </c>
      <c r="I16" s="65">
        <v>7493</v>
      </c>
      <c r="J16" s="65">
        <f xml:space="preserve"> ROUND((F16*15%),2)</f>
        <v>4449.7</v>
      </c>
      <c r="K16" s="65">
        <f>ROUND(((F16+J16)*12*E16),2)</f>
        <v>1228117.2</v>
      </c>
      <c r="L16" s="65">
        <f>K16-O16</f>
        <v>1228117.2</v>
      </c>
      <c r="M16" s="65" t="s">
        <v>241</v>
      </c>
      <c r="N16" s="65" t="s">
        <v>241</v>
      </c>
      <c r="O16" s="172">
        <v>0</v>
      </c>
      <c r="P16" s="65" t="s">
        <v>241</v>
      </c>
      <c r="Q16" s="68">
        <f>(20955.99+81387.11)*12</f>
        <v>1228117.2000000002</v>
      </c>
      <c r="R16" s="68">
        <f>S16/1.15/12/E16</f>
        <v>0</v>
      </c>
      <c r="S16" s="63">
        <f>Q16-K16</f>
        <v>0</v>
      </c>
      <c r="T16" s="89" t="s">
        <v>7</v>
      </c>
      <c r="U16" s="121">
        <f>SUM(U11:U15)</f>
        <v>19154402.050000001</v>
      </c>
      <c r="V16" s="68">
        <f>U16-K17</f>
        <v>0</v>
      </c>
    </row>
    <row r="17" spans="2:21" ht="15.75">
      <c r="B17" s="122"/>
      <c r="C17" s="305" t="s">
        <v>23</v>
      </c>
      <c r="D17" s="305"/>
      <c r="E17" s="174" t="s">
        <v>9</v>
      </c>
      <c r="F17" s="174" t="s">
        <v>9</v>
      </c>
      <c r="G17" s="174" t="s">
        <v>9</v>
      </c>
      <c r="H17" s="174" t="s">
        <v>9</v>
      </c>
      <c r="I17" s="174" t="s">
        <v>9</v>
      </c>
      <c r="J17" s="174" t="s">
        <v>9</v>
      </c>
      <c r="K17" s="64">
        <f>SUM(K13:K16)</f>
        <v>19154402.050000001</v>
      </c>
      <c r="L17" s="64">
        <f>SUM(L13:L16)</f>
        <v>19056743.879999999</v>
      </c>
      <c r="M17" s="64">
        <f t="shared" ref="M17:P17" si="4">SUM(M13:M16)</f>
        <v>0</v>
      </c>
      <c r="N17" s="64">
        <f t="shared" si="4"/>
        <v>0</v>
      </c>
      <c r="O17" s="64">
        <f>SUM(O13:O16)</f>
        <v>97658.17</v>
      </c>
      <c r="P17" s="64">
        <f t="shared" si="4"/>
        <v>0</v>
      </c>
      <c r="S17" s="63"/>
      <c r="U17" s="72" t="b">
        <f>K17=U16</f>
        <v>1</v>
      </c>
    </row>
    <row r="18" spans="2:21" ht="15" customHeight="1">
      <c r="S18" s="68"/>
    </row>
    <row r="19" spans="2:21" ht="21" customHeight="1">
      <c r="B19" s="74"/>
      <c r="C19" s="277" t="s">
        <v>252</v>
      </c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74"/>
      <c r="P19" s="74"/>
      <c r="Q19" s="117"/>
      <c r="R19" s="117"/>
      <c r="S19" s="117"/>
    </row>
    <row r="20" spans="2:21" ht="15.75" customHeight="1"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</row>
    <row r="21" spans="2:21" ht="34.5" customHeight="1">
      <c r="B21" s="259" t="s">
        <v>191</v>
      </c>
      <c r="C21" s="259" t="s">
        <v>2</v>
      </c>
      <c r="D21" s="259" t="s">
        <v>24</v>
      </c>
      <c r="E21" s="259" t="s">
        <v>206</v>
      </c>
      <c r="F21" s="259"/>
      <c r="G21" s="259" t="s">
        <v>193</v>
      </c>
      <c r="H21" s="259"/>
      <c r="I21" s="259"/>
      <c r="J21" s="259"/>
      <c r="K21" s="259"/>
      <c r="L21" s="259"/>
      <c r="M21" s="259"/>
      <c r="N21" s="84"/>
      <c r="O21" s="84"/>
      <c r="P21" s="84"/>
      <c r="Q21" s="84"/>
      <c r="R21" s="84"/>
    </row>
    <row r="22" spans="2:21" ht="90.75" customHeight="1">
      <c r="B22" s="259"/>
      <c r="C22" s="259"/>
      <c r="D22" s="259"/>
      <c r="E22" s="259"/>
      <c r="F22" s="259"/>
      <c r="G22" s="259" t="s">
        <v>194</v>
      </c>
      <c r="H22" s="259"/>
      <c r="I22" s="258" t="s">
        <v>195</v>
      </c>
      <c r="J22" s="258"/>
      <c r="K22" s="259" t="s">
        <v>196</v>
      </c>
      <c r="L22" s="262" t="s">
        <v>197</v>
      </c>
      <c r="M22" s="263"/>
      <c r="N22" s="297"/>
      <c r="O22" s="297"/>
      <c r="P22" s="179"/>
      <c r="Q22" s="123"/>
      <c r="R22" s="123"/>
      <c r="S22" s="123"/>
    </row>
    <row r="23" spans="2:21" ht="39" customHeight="1">
      <c r="B23" s="259"/>
      <c r="C23" s="259"/>
      <c r="D23" s="259"/>
      <c r="E23" s="259"/>
      <c r="F23" s="259"/>
      <c r="G23" s="259"/>
      <c r="H23" s="259"/>
      <c r="I23" s="258"/>
      <c r="J23" s="258"/>
      <c r="K23" s="259"/>
      <c r="L23" s="169" t="s">
        <v>14</v>
      </c>
      <c r="M23" s="169" t="s">
        <v>198</v>
      </c>
      <c r="N23" s="179"/>
      <c r="O23" s="179"/>
      <c r="P23" s="179"/>
      <c r="Q23" s="123"/>
      <c r="R23" s="123"/>
      <c r="S23" s="123"/>
    </row>
    <row r="24" spans="2:21" ht="15.75" customHeight="1">
      <c r="B24" s="169">
        <v>1</v>
      </c>
      <c r="C24" s="169">
        <v>2</v>
      </c>
      <c r="D24" s="169">
        <v>3</v>
      </c>
      <c r="E24" s="259">
        <v>4</v>
      </c>
      <c r="F24" s="259"/>
      <c r="G24" s="259">
        <v>5</v>
      </c>
      <c r="H24" s="259"/>
      <c r="I24" s="259">
        <v>6</v>
      </c>
      <c r="J24" s="259"/>
      <c r="K24" s="169">
        <v>7</v>
      </c>
      <c r="L24" s="169">
        <v>8</v>
      </c>
      <c r="M24" s="169">
        <v>9</v>
      </c>
      <c r="N24" s="179"/>
      <c r="O24" s="179"/>
      <c r="P24" s="179"/>
      <c r="Q24" s="123"/>
      <c r="R24" s="123"/>
      <c r="S24" s="123"/>
    </row>
    <row r="25" spans="2:21" ht="30.75" customHeight="1">
      <c r="B25" s="172">
        <v>111</v>
      </c>
      <c r="C25" s="172" t="s">
        <v>199</v>
      </c>
      <c r="D25" s="124" t="s">
        <v>281</v>
      </c>
      <c r="E25" s="295">
        <v>85203.520000000004</v>
      </c>
      <c r="F25" s="296"/>
      <c r="G25" s="292" t="s">
        <v>9</v>
      </c>
      <c r="H25" s="292"/>
      <c r="I25" s="292" t="s">
        <v>9</v>
      </c>
      <c r="J25" s="292"/>
      <c r="K25" s="172" t="s">
        <v>9</v>
      </c>
      <c r="L25" s="172" t="s">
        <v>9</v>
      </c>
      <c r="M25" s="172" t="s">
        <v>9</v>
      </c>
      <c r="N25" s="84"/>
      <c r="O25" s="84"/>
      <c r="P25" s="84"/>
      <c r="Q25" s="81" t="s">
        <v>294</v>
      </c>
      <c r="R25" s="81"/>
      <c r="S25" s="123"/>
    </row>
    <row r="26" spans="2:21" ht="15.75" customHeight="1">
      <c r="B26" s="76"/>
      <c r="C26" s="298" t="s">
        <v>23</v>
      </c>
      <c r="D26" s="299"/>
      <c r="E26" s="300">
        <f>SUM(E25)</f>
        <v>85203.520000000004</v>
      </c>
      <c r="F26" s="300"/>
      <c r="G26" s="301">
        <f>E26</f>
        <v>85203.520000000004</v>
      </c>
      <c r="H26" s="302"/>
      <c r="I26" s="303">
        <v>0</v>
      </c>
      <c r="J26" s="303"/>
      <c r="K26" s="180">
        <v>0</v>
      </c>
      <c r="L26" s="180">
        <v>0</v>
      </c>
      <c r="M26" s="180">
        <v>0</v>
      </c>
      <c r="N26" s="84"/>
      <c r="O26" s="84"/>
      <c r="P26" s="84"/>
      <c r="Q26" s="123"/>
      <c r="R26" s="123"/>
      <c r="S26" s="123"/>
    </row>
    <row r="27" spans="2:21" ht="15.75">
      <c r="B27" s="125"/>
      <c r="C27" s="125"/>
      <c r="D27" s="126"/>
      <c r="E27" s="75"/>
      <c r="F27" s="75"/>
      <c r="G27" s="75"/>
      <c r="H27" s="84"/>
      <c r="I27" s="179"/>
      <c r="J27" s="179"/>
      <c r="K27" s="179"/>
      <c r="L27" s="179"/>
      <c r="M27" s="84"/>
      <c r="N27" s="84"/>
      <c r="O27" s="84"/>
      <c r="P27" s="84"/>
      <c r="Q27" s="123"/>
      <c r="R27" s="123"/>
      <c r="S27" s="123"/>
    </row>
    <row r="28" spans="2:21" ht="18.75" customHeight="1">
      <c r="B28" s="74"/>
      <c r="C28" s="269" t="s">
        <v>253</v>
      </c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127"/>
      <c r="P28" s="127"/>
    </row>
    <row r="29" spans="2:21" ht="15.75"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</row>
    <row r="30" spans="2:21" ht="36" customHeight="1">
      <c r="B30" s="259" t="s">
        <v>191</v>
      </c>
      <c r="C30" s="259" t="s">
        <v>2</v>
      </c>
      <c r="D30" s="259" t="s">
        <v>24</v>
      </c>
      <c r="E30" s="259" t="s">
        <v>203</v>
      </c>
      <c r="F30" s="259" t="s">
        <v>204</v>
      </c>
      <c r="G30" s="259" t="s">
        <v>205</v>
      </c>
      <c r="H30" s="169" t="s">
        <v>206</v>
      </c>
      <c r="I30" s="259" t="s">
        <v>193</v>
      </c>
      <c r="J30" s="259"/>
      <c r="K30" s="259"/>
      <c r="L30" s="259"/>
      <c r="M30" s="259"/>
      <c r="N30" s="259"/>
      <c r="O30" s="259"/>
      <c r="P30" s="84"/>
    </row>
    <row r="31" spans="2:21" ht="87.75" customHeight="1">
      <c r="B31" s="259"/>
      <c r="C31" s="259"/>
      <c r="D31" s="259"/>
      <c r="E31" s="259"/>
      <c r="F31" s="259"/>
      <c r="G31" s="259"/>
      <c r="H31" s="259" t="s">
        <v>244</v>
      </c>
      <c r="I31" s="243" t="s">
        <v>194</v>
      </c>
      <c r="J31" s="243"/>
      <c r="K31" s="258" t="s">
        <v>195</v>
      </c>
      <c r="L31" s="258"/>
      <c r="M31" s="259" t="s">
        <v>196</v>
      </c>
      <c r="N31" s="241" t="s">
        <v>197</v>
      </c>
      <c r="O31" s="242"/>
      <c r="P31" s="179"/>
      <c r="Q31" s="284"/>
      <c r="R31" s="284"/>
      <c r="S31" s="284"/>
      <c r="T31" s="74"/>
    </row>
    <row r="32" spans="2:21" ht="30.75" customHeight="1">
      <c r="B32" s="259"/>
      <c r="C32" s="259"/>
      <c r="D32" s="259"/>
      <c r="E32" s="259"/>
      <c r="F32" s="259"/>
      <c r="G32" s="259"/>
      <c r="H32" s="259"/>
      <c r="I32" s="243"/>
      <c r="J32" s="243"/>
      <c r="K32" s="258"/>
      <c r="L32" s="258"/>
      <c r="M32" s="259"/>
      <c r="N32" s="170" t="s">
        <v>14</v>
      </c>
      <c r="O32" s="170" t="s">
        <v>198</v>
      </c>
      <c r="P32" s="179"/>
      <c r="Q32" s="177"/>
      <c r="R32" s="177"/>
      <c r="S32" s="177"/>
      <c r="T32" s="74"/>
    </row>
    <row r="33" spans="2:20" ht="15.75">
      <c r="B33" s="169">
        <v>1</v>
      </c>
      <c r="C33" s="169">
        <v>2</v>
      </c>
      <c r="D33" s="169">
        <v>3</v>
      </c>
      <c r="E33" s="169">
        <v>4</v>
      </c>
      <c r="F33" s="169">
        <v>5</v>
      </c>
      <c r="G33" s="169">
        <v>6</v>
      </c>
      <c r="H33" s="169">
        <v>7</v>
      </c>
      <c r="I33" s="259">
        <v>8</v>
      </c>
      <c r="J33" s="259"/>
      <c r="K33" s="259">
        <v>9</v>
      </c>
      <c r="L33" s="259"/>
      <c r="M33" s="169">
        <v>10</v>
      </c>
      <c r="N33" s="169">
        <v>11</v>
      </c>
      <c r="O33" s="169">
        <v>12</v>
      </c>
      <c r="P33" s="179"/>
      <c r="Q33" s="179"/>
      <c r="R33" s="179"/>
      <c r="S33" s="179"/>
      <c r="T33" s="74"/>
    </row>
    <row r="34" spans="2:20" ht="64.150000000000006" customHeight="1">
      <c r="B34" s="172">
        <v>112</v>
      </c>
      <c r="C34" s="172" t="s">
        <v>199</v>
      </c>
      <c r="D34" s="128" t="s">
        <v>409</v>
      </c>
      <c r="E34" s="85">
        <v>800</v>
      </c>
      <c r="F34" s="172">
        <v>1</v>
      </c>
      <c r="G34" s="172">
        <v>1</v>
      </c>
      <c r="H34" s="85">
        <v>3000</v>
      </c>
      <c r="I34" s="292" t="s">
        <v>9</v>
      </c>
      <c r="J34" s="292"/>
      <c r="K34" s="292" t="s">
        <v>9</v>
      </c>
      <c r="L34" s="292"/>
      <c r="M34" s="172" t="s">
        <v>9</v>
      </c>
      <c r="N34" s="172" t="s">
        <v>9</v>
      </c>
      <c r="O34" s="172" t="s">
        <v>9</v>
      </c>
      <c r="P34" s="125"/>
      <c r="Q34" s="81" t="s">
        <v>293</v>
      </c>
      <c r="R34" s="81"/>
      <c r="S34" s="75"/>
      <c r="T34" s="74"/>
    </row>
    <row r="35" spans="2:20" ht="15.75">
      <c r="B35" s="76"/>
      <c r="C35" s="128"/>
      <c r="D35" s="175" t="s">
        <v>23</v>
      </c>
      <c r="E35" s="174" t="s">
        <v>9</v>
      </c>
      <c r="F35" s="174" t="s">
        <v>9</v>
      </c>
      <c r="G35" s="174" t="s">
        <v>9</v>
      </c>
      <c r="H35" s="173">
        <f>SUM(H34)</f>
        <v>3000</v>
      </c>
      <c r="I35" s="289">
        <f>H35</f>
        <v>3000</v>
      </c>
      <c r="J35" s="290"/>
      <c r="K35" s="289">
        <v>0</v>
      </c>
      <c r="L35" s="289"/>
      <c r="M35" s="173">
        <v>0</v>
      </c>
      <c r="N35" s="173">
        <v>0</v>
      </c>
      <c r="O35" s="173">
        <v>0</v>
      </c>
      <c r="P35" s="87"/>
      <c r="Q35" s="84"/>
      <c r="R35" s="84"/>
      <c r="S35" s="84"/>
      <c r="T35" s="74"/>
    </row>
    <row r="36" spans="2:20" ht="15" customHeight="1"/>
    <row r="37" spans="2:20" ht="34.5" customHeight="1">
      <c r="B37" s="74"/>
      <c r="C37" s="269" t="s">
        <v>254</v>
      </c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127"/>
      <c r="P37" s="127"/>
    </row>
    <row r="38" spans="2:20" ht="15.75" customHeight="1"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</row>
    <row r="39" spans="2:20" ht="36" customHeight="1">
      <c r="B39" s="259" t="s">
        <v>191</v>
      </c>
      <c r="C39" s="259" t="s">
        <v>2</v>
      </c>
      <c r="D39" s="259" t="s">
        <v>24</v>
      </c>
      <c r="E39" s="259" t="s">
        <v>203</v>
      </c>
      <c r="F39" s="259" t="s">
        <v>204</v>
      </c>
      <c r="G39" s="259" t="s">
        <v>205</v>
      </c>
      <c r="H39" s="169" t="s">
        <v>206</v>
      </c>
      <c r="I39" s="259" t="s">
        <v>193</v>
      </c>
      <c r="J39" s="259"/>
      <c r="K39" s="259"/>
      <c r="L39" s="259"/>
      <c r="M39" s="259"/>
      <c r="N39" s="259"/>
      <c r="O39" s="259"/>
      <c r="P39" s="84"/>
    </row>
    <row r="40" spans="2:20" ht="87" customHeight="1">
      <c r="B40" s="259"/>
      <c r="C40" s="259"/>
      <c r="D40" s="259"/>
      <c r="E40" s="259"/>
      <c r="F40" s="259"/>
      <c r="G40" s="259"/>
      <c r="H40" s="259" t="s">
        <v>244</v>
      </c>
      <c r="I40" s="243" t="s">
        <v>194</v>
      </c>
      <c r="J40" s="243"/>
      <c r="K40" s="258" t="s">
        <v>195</v>
      </c>
      <c r="L40" s="258"/>
      <c r="M40" s="259" t="s">
        <v>196</v>
      </c>
      <c r="N40" s="243" t="s">
        <v>197</v>
      </c>
      <c r="O40" s="243"/>
      <c r="P40" s="179"/>
      <c r="Q40" s="284"/>
      <c r="R40" s="284"/>
      <c r="S40" s="284"/>
      <c r="T40" s="74"/>
    </row>
    <row r="41" spans="2:20" ht="30.75" customHeight="1">
      <c r="B41" s="259"/>
      <c r="C41" s="259"/>
      <c r="D41" s="259"/>
      <c r="E41" s="259"/>
      <c r="F41" s="259"/>
      <c r="G41" s="259"/>
      <c r="H41" s="259"/>
      <c r="I41" s="243"/>
      <c r="J41" s="243"/>
      <c r="K41" s="258"/>
      <c r="L41" s="258"/>
      <c r="M41" s="259"/>
      <c r="N41" s="170" t="s">
        <v>14</v>
      </c>
      <c r="O41" s="170" t="s">
        <v>198</v>
      </c>
      <c r="P41" s="179"/>
      <c r="Q41" s="177"/>
      <c r="R41" s="177"/>
      <c r="S41" s="177"/>
      <c r="T41" s="74"/>
    </row>
    <row r="42" spans="2:20" ht="15.75" customHeight="1">
      <c r="B42" s="169">
        <v>1</v>
      </c>
      <c r="C42" s="169">
        <v>2</v>
      </c>
      <c r="D42" s="169">
        <v>3</v>
      </c>
      <c r="E42" s="169">
        <v>4</v>
      </c>
      <c r="F42" s="169">
        <v>5</v>
      </c>
      <c r="G42" s="169">
        <v>6</v>
      </c>
      <c r="H42" s="169">
        <v>7</v>
      </c>
      <c r="I42" s="259">
        <v>8</v>
      </c>
      <c r="J42" s="259"/>
      <c r="K42" s="259">
        <v>9</v>
      </c>
      <c r="L42" s="259"/>
      <c r="M42" s="169">
        <v>10</v>
      </c>
      <c r="N42" s="169">
        <v>11</v>
      </c>
      <c r="O42" s="169">
        <v>12</v>
      </c>
      <c r="P42" s="179"/>
      <c r="Q42" s="179"/>
      <c r="R42" s="179"/>
      <c r="S42" s="179"/>
      <c r="T42" s="74"/>
    </row>
    <row r="43" spans="2:20" ht="18" customHeight="1">
      <c r="B43" s="76"/>
      <c r="C43" s="172"/>
      <c r="D43" s="129"/>
      <c r="E43" s="76"/>
      <c r="F43" s="76"/>
      <c r="G43" s="76"/>
      <c r="H43" s="76"/>
      <c r="I43" s="292" t="s">
        <v>9</v>
      </c>
      <c r="J43" s="292"/>
      <c r="K43" s="292" t="s">
        <v>9</v>
      </c>
      <c r="L43" s="292"/>
      <c r="M43" s="172" t="s">
        <v>9</v>
      </c>
      <c r="N43" s="172" t="s">
        <v>9</v>
      </c>
      <c r="O43" s="172" t="s">
        <v>9</v>
      </c>
      <c r="P43" s="125"/>
      <c r="Q43" s="75" t="s">
        <v>314</v>
      </c>
      <c r="R43" s="75"/>
      <c r="S43" s="75"/>
      <c r="T43" s="74"/>
    </row>
    <row r="44" spans="2:20" ht="15.75" customHeight="1">
      <c r="B44" s="76"/>
      <c r="C44" s="128"/>
      <c r="D44" s="175" t="s">
        <v>23</v>
      </c>
      <c r="E44" s="174" t="s">
        <v>9</v>
      </c>
      <c r="F44" s="174" t="s">
        <v>9</v>
      </c>
      <c r="G44" s="174" t="s">
        <v>9</v>
      </c>
      <c r="H44" s="86"/>
      <c r="I44" s="290"/>
      <c r="J44" s="290"/>
      <c r="K44" s="290"/>
      <c r="L44" s="290"/>
      <c r="M44" s="86"/>
      <c r="N44" s="86"/>
      <c r="O44" s="86"/>
      <c r="P44" s="87"/>
      <c r="Q44" s="84"/>
      <c r="R44" s="84"/>
      <c r="S44" s="84"/>
      <c r="T44" s="74"/>
    </row>
    <row r="45" spans="2:20" ht="15.75">
      <c r="B45" s="125"/>
      <c r="C45" s="84"/>
      <c r="D45" s="130"/>
      <c r="E45" s="77"/>
      <c r="F45" s="77"/>
      <c r="G45" s="77"/>
      <c r="H45" s="87"/>
      <c r="I45" s="77"/>
      <c r="J45" s="77"/>
      <c r="K45" s="77"/>
      <c r="L45" s="77"/>
      <c r="M45" s="87"/>
      <c r="N45" s="87"/>
      <c r="O45" s="84"/>
      <c r="P45" s="84"/>
      <c r="Q45" s="84"/>
      <c r="R45" s="84"/>
      <c r="S45" s="84"/>
      <c r="T45" s="74"/>
    </row>
    <row r="46" spans="2:20" ht="54.75" customHeight="1">
      <c r="B46" s="74"/>
      <c r="C46" s="269" t="s">
        <v>255</v>
      </c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74"/>
      <c r="P46" s="74"/>
    </row>
    <row r="47" spans="2:20" ht="15.75"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</row>
    <row r="48" spans="2:20" ht="23.25" customHeight="1">
      <c r="B48" s="259" t="s">
        <v>191</v>
      </c>
      <c r="C48" s="259" t="s">
        <v>2</v>
      </c>
      <c r="D48" s="259" t="s">
        <v>25</v>
      </c>
      <c r="E48" s="259" t="s">
        <v>208</v>
      </c>
      <c r="F48" s="259" t="s">
        <v>209</v>
      </c>
      <c r="G48" s="259" t="s">
        <v>210</v>
      </c>
      <c r="H48" s="259" t="s">
        <v>193</v>
      </c>
      <c r="I48" s="259"/>
      <c r="J48" s="259"/>
      <c r="K48" s="259"/>
      <c r="L48" s="259"/>
      <c r="M48" s="259"/>
      <c r="N48" s="259"/>
      <c r="O48" s="84"/>
      <c r="P48" s="84"/>
    </row>
    <row r="49" spans="2:21" ht="84" customHeight="1">
      <c r="B49" s="259"/>
      <c r="C49" s="259"/>
      <c r="D49" s="259"/>
      <c r="E49" s="259"/>
      <c r="F49" s="259"/>
      <c r="G49" s="262"/>
      <c r="H49" s="259" t="s">
        <v>194</v>
      </c>
      <c r="I49" s="259"/>
      <c r="J49" s="294" t="s">
        <v>195</v>
      </c>
      <c r="K49" s="258"/>
      <c r="L49" s="259" t="s">
        <v>196</v>
      </c>
      <c r="M49" s="259" t="s">
        <v>197</v>
      </c>
      <c r="N49" s="259"/>
      <c r="O49" s="84"/>
      <c r="P49" s="84"/>
    </row>
    <row r="50" spans="2:21" ht="36" customHeight="1">
      <c r="B50" s="259"/>
      <c r="C50" s="259"/>
      <c r="D50" s="259"/>
      <c r="E50" s="259"/>
      <c r="F50" s="259"/>
      <c r="G50" s="262"/>
      <c r="H50" s="259"/>
      <c r="I50" s="259"/>
      <c r="J50" s="294"/>
      <c r="K50" s="258"/>
      <c r="L50" s="259"/>
      <c r="M50" s="169" t="s">
        <v>14</v>
      </c>
      <c r="N50" s="169" t="s">
        <v>198</v>
      </c>
      <c r="O50" s="179"/>
      <c r="P50" s="179"/>
    </row>
    <row r="51" spans="2:21" ht="15.75">
      <c r="B51" s="169">
        <v>1</v>
      </c>
      <c r="C51" s="169">
        <v>2</v>
      </c>
      <c r="D51" s="169">
        <v>3</v>
      </c>
      <c r="E51" s="169">
        <v>4</v>
      </c>
      <c r="F51" s="169">
        <v>5</v>
      </c>
      <c r="G51" s="181">
        <v>6</v>
      </c>
      <c r="H51" s="259">
        <v>7</v>
      </c>
      <c r="I51" s="259"/>
      <c r="J51" s="263">
        <v>8</v>
      </c>
      <c r="K51" s="259"/>
      <c r="L51" s="169">
        <v>9</v>
      </c>
      <c r="M51" s="169">
        <v>10</v>
      </c>
      <c r="N51" s="169">
        <v>11</v>
      </c>
      <c r="O51" s="179"/>
      <c r="P51" s="179"/>
    </row>
    <row r="52" spans="2:21" ht="63">
      <c r="B52" s="172">
        <v>119</v>
      </c>
      <c r="C52" s="172" t="s">
        <v>199</v>
      </c>
      <c r="D52" s="129" t="s">
        <v>26</v>
      </c>
      <c r="E52" s="172" t="s">
        <v>9</v>
      </c>
      <c r="F52" s="172" t="s">
        <v>9</v>
      </c>
      <c r="G52" s="178">
        <f>SUM(G53:G54)</f>
        <v>4148394.1300000008</v>
      </c>
      <c r="H52" s="292" t="s">
        <v>9</v>
      </c>
      <c r="I52" s="292"/>
      <c r="J52" s="292" t="s">
        <v>9</v>
      </c>
      <c r="K52" s="292"/>
      <c r="L52" s="182" t="s">
        <v>9</v>
      </c>
      <c r="M52" s="182" t="s">
        <v>9</v>
      </c>
      <c r="N52" s="182" t="s">
        <v>9</v>
      </c>
      <c r="O52" s="75"/>
      <c r="R52" s="131">
        <f>ROUND((-585236.17*100/30.2),0)</f>
        <v>-1937868</v>
      </c>
    </row>
    <row r="53" spans="2:21" ht="15.75">
      <c r="B53" s="172">
        <v>119</v>
      </c>
      <c r="C53" s="172" t="s">
        <v>27</v>
      </c>
      <c r="D53" s="129" t="s">
        <v>211</v>
      </c>
      <c r="E53" s="172">
        <v>22</v>
      </c>
      <c r="F53" s="78">
        <f>K17</f>
        <v>19154402.050000001</v>
      </c>
      <c r="G53" s="178">
        <f>ROUND((F53*22%),0)+21991-15387+6565.02-25412.52-15000-20000+414085-3592425.48+3033650.49-230784.58-360095.54+720191.08+17317+10164+39256-30000-10800-582782+803133+434172-222957-34123.17-426331.17</f>
        <v>4148394.1300000008</v>
      </c>
      <c r="H53" s="292" t="s">
        <v>9</v>
      </c>
      <c r="I53" s="292"/>
      <c r="J53" s="292" t="s">
        <v>9</v>
      </c>
      <c r="K53" s="292"/>
      <c r="L53" s="182" t="s">
        <v>9</v>
      </c>
      <c r="M53" s="182" t="s">
        <v>9</v>
      </c>
      <c r="N53" s="182" t="s">
        <v>9</v>
      </c>
      <c r="O53" s="75"/>
      <c r="Q53" s="81" t="s">
        <v>295</v>
      </c>
      <c r="R53" s="186">
        <f>SUM(R54:R58)</f>
        <v>-585236</v>
      </c>
    </row>
    <row r="54" spans="2:21" ht="15.75">
      <c r="B54" s="172">
        <v>119</v>
      </c>
      <c r="C54" s="172" t="s">
        <v>28</v>
      </c>
      <c r="D54" s="129" t="s">
        <v>212</v>
      </c>
      <c r="E54" s="172">
        <v>10</v>
      </c>
      <c r="F54" s="76"/>
      <c r="G54" s="178">
        <f>ROUND((F54*22%),2)</f>
        <v>0</v>
      </c>
      <c r="H54" s="292" t="s">
        <v>9</v>
      </c>
      <c r="I54" s="292"/>
      <c r="J54" s="292" t="s">
        <v>9</v>
      </c>
      <c r="K54" s="292"/>
      <c r="L54" s="182" t="s">
        <v>9</v>
      </c>
      <c r="M54" s="182" t="s">
        <v>9</v>
      </c>
      <c r="N54" s="182" t="s">
        <v>9</v>
      </c>
      <c r="O54" s="75"/>
      <c r="R54" s="85">
        <f>ROUND((R52*22%),0)</f>
        <v>-426331</v>
      </c>
    </row>
    <row r="55" spans="2:21" ht="71.25" customHeight="1">
      <c r="B55" s="172">
        <v>119</v>
      </c>
      <c r="C55" s="172" t="s">
        <v>177</v>
      </c>
      <c r="D55" s="129" t="s">
        <v>30</v>
      </c>
      <c r="E55" s="172" t="s">
        <v>9</v>
      </c>
      <c r="F55" s="172" t="s">
        <v>9</v>
      </c>
      <c r="G55" s="178">
        <f>G56+G57</f>
        <v>584693</v>
      </c>
      <c r="H55" s="292" t="s">
        <v>9</v>
      </c>
      <c r="I55" s="292"/>
      <c r="J55" s="292" t="s">
        <v>9</v>
      </c>
      <c r="K55" s="292"/>
      <c r="L55" s="182" t="s">
        <v>9</v>
      </c>
      <c r="M55" s="182" t="s">
        <v>9</v>
      </c>
      <c r="N55" s="182" t="s">
        <v>9</v>
      </c>
      <c r="O55" s="75"/>
      <c r="R55" s="132"/>
      <c r="T55" s="89" t="s">
        <v>298</v>
      </c>
      <c r="U55" s="89">
        <v>5683776.0899999999</v>
      </c>
    </row>
    <row r="56" spans="2:21" ht="102" customHeight="1">
      <c r="B56" s="172">
        <v>119</v>
      </c>
      <c r="C56" s="172" t="s">
        <v>31</v>
      </c>
      <c r="D56" s="129" t="s">
        <v>213</v>
      </c>
      <c r="E56" s="172">
        <v>2.9</v>
      </c>
      <c r="F56" s="65">
        <f>F53</f>
        <v>19154402.050000001</v>
      </c>
      <c r="G56" s="178">
        <f>ROUND((F56*2.9%),0)+2899-2028+2641-15000+2283+1340+5175-76821+105868+57232-29390-4498-56198</f>
        <v>548981</v>
      </c>
      <c r="H56" s="292" t="s">
        <v>9</v>
      </c>
      <c r="I56" s="292"/>
      <c r="J56" s="292" t="s">
        <v>9</v>
      </c>
      <c r="K56" s="292"/>
      <c r="L56" s="182" t="s">
        <v>9</v>
      </c>
      <c r="M56" s="182" t="s">
        <v>9</v>
      </c>
      <c r="N56" s="182" t="s">
        <v>9</v>
      </c>
      <c r="O56" s="75"/>
      <c r="R56" s="85">
        <f>ROUND((R52*2.9%),0)</f>
        <v>-56198</v>
      </c>
      <c r="T56" s="89" t="s">
        <v>297</v>
      </c>
      <c r="U56" s="82">
        <v>0</v>
      </c>
    </row>
    <row r="57" spans="2:21" ht="117.75" customHeight="1">
      <c r="B57" s="172">
        <v>119</v>
      </c>
      <c r="C57" s="172" t="s">
        <v>32</v>
      </c>
      <c r="D57" s="128" t="s">
        <v>214</v>
      </c>
      <c r="E57" s="172">
        <v>0.2</v>
      </c>
      <c r="F57" s="65">
        <f>F53</f>
        <v>19154402.050000001</v>
      </c>
      <c r="G57" s="178">
        <f>ROUND((F57*0.2%),0)+200-140-3000+157+92+357-5298+7301+3947-2027-310-3876</f>
        <v>35712</v>
      </c>
      <c r="H57" s="292" t="s">
        <v>9</v>
      </c>
      <c r="I57" s="292"/>
      <c r="J57" s="292" t="s">
        <v>9</v>
      </c>
      <c r="K57" s="292"/>
      <c r="L57" s="182" t="s">
        <v>9</v>
      </c>
      <c r="M57" s="182" t="s">
        <v>9</v>
      </c>
      <c r="N57" s="182" t="s">
        <v>9</v>
      </c>
      <c r="O57" s="75"/>
      <c r="R57" s="85">
        <f>ROUND((R52*0.2%),0)</f>
        <v>-3876</v>
      </c>
      <c r="T57" s="89" t="s">
        <v>292</v>
      </c>
      <c r="U57" s="89">
        <v>29492.73</v>
      </c>
    </row>
    <row r="58" spans="2:21" ht="96.6" customHeight="1">
      <c r="B58" s="172">
        <v>119</v>
      </c>
      <c r="C58" s="172" t="s">
        <v>182</v>
      </c>
      <c r="D58" s="115" t="s">
        <v>33</v>
      </c>
      <c r="E58" s="172">
        <v>5.0999999999999996</v>
      </c>
      <c r="F58" s="65">
        <f>F53</f>
        <v>19154402.050000001</v>
      </c>
      <c r="G58" s="114">
        <f>ROUND((F58*5.1%),0)+5097-3567+0.34-0.08-7000+4014+1+2356.43+9100-135099+186181+100649-51685-7910-98831</f>
        <v>980181.69</v>
      </c>
      <c r="H58" s="293" t="s">
        <v>9</v>
      </c>
      <c r="I58" s="293"/>
      <c r="J58" s="293" t="s">
        <v>9</v>
      </c>
      <c r="K58" s="293"/>
      <c r="L58" s="182" t="s">
        <v>9</v>
      </c>
      <c r="M58" s="182" t="s">
        <v>9</v>
      </c>
      <c r="N58" s="182" t="s">
        <v>9</v>
      </c>
      <c r="O58" s="75"/>
      <c r="R58" s="85">
        <f>ROUND((R52*5.1%),0)</f>
        <v>-98831</v>
      </c>
      <c r="T58" s="89" t="s">
        <v>7</v>
      </c>
      <c r="U58" s="88">
        <f>SUM(U55:U57)</f>
        <v>5713268.8200000003</v>
      </c>
    </row>
    <row r="59" spans="2:21" ht="15.75">
      <c r="B59" s="76"/>
      <c r="C59" s="129"/>
      <c r="D59" s="133" t="s">
        <v>23</v>
      </c>
      <c r="E59" s="174" t="s">
        <v>9</v>
      </c>
      <c r="F59" s="174" t="s">
        <v>9</v>
      </c>
      <c r="G59" s="64">
        <f>G58+G55+G52</f>
        <v>5713268.8200000003</v>
      </c>
      <c r="H59" s="289">
        <f>U55+U56</f>
        <v>5683776.0899999999</v>
      </c>
      <c r="I59" s="290"/>
      <c r="J59" s="289">
        <v>0</v>
      </c>
      <c r="K59" s="289"/>
      <c r="L59" s="173">
        <v>0</v>
      </c>
      <c r="M59" s="173">
        <f>U57</f>
        <v>29492.73</v>
      </c>
      <c r="N59" s="173">
        <v>0</v>
      </c>
      <c r="O59" s="84"/>
      <c r="P59" s="84"/>
      <c r="Q59" s="134">
        <f>H59+J59+L59+M59</f>
        <v>5713268.8200000003</v>
      </c>
      <c r="R59" s="134"/>
      <c r="S59" s="135">
        <f>Q59-G59</f>
        <v>0</v>
      </c>
      <c r="U59" s="72" t="b">
        <f>G59=U58</f>
        <v>1</v>
      </c>
    </row>
    <row r="60" spans="2:21" ht="15" customHeight="1">
      <c r="F60" s="68"/>
      <c r="N60" s="117"/>
      <c r="Q60" s="72" t="b">
        <f>G59=Q59</f>
        <v>1</v>
      </c>
      <c r="U60" s="68">
        <f>U58-G59</f>
        <v>0</v>
      </c>
    </row>
    <row r="61" spans="2:21" ht="36" customHeight="1">
      <c r="B61" s="291" t="s">
        <v>215</v>
      </c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123"/>
      <c r="O61" s="136"/>
      <c r="P61" s="136"/>
      <c r="Q61" s="136"/>
      <c r="R61" s="136"/>
    </row>
    <row r="62" spans="2:21" ht="15" customHeight="1"/>
    <row r="63" spans="2:21" ht="24" customHeight="1">
      <c r="B63" s="74"/>
      <c r="C63" s="269" t="s">
        <v>250</v>
      </c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74"/>
      <c r="O63" s="74"/>
      <c r="P63" s="74"/>
    </row>
    <row r="64" spans="2:21" ht="15.75" customHeight="1"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</row>
    <row r="65" spans="2:18" ht="38.25" customHeight="1">
      <c r="B65" s="243" t="s">
        <v>191</v>
      </c>
      <c r="C65" s="243" t="s">
        <v>2</v>
      </c>
      <c r="D65" s="243" t="s">
        <v>3</v>
      </c>
      <c r="E65" s="243" t="s">
        <v>216</v>
      </c>
      <c r="F65" s="243" t="s">
        <v>217</v>
      </c>
      <c r="G65" s="170" t="s">
        <v>218</v>
      </c>
      <c r="H65" s="243" t="s">
        <v>193</v>
      </c>
      <c r="I65" s="243"/>
      <c r="J65" s="243"/>
      <c r="K65" s="243"/>
      <c r="L65" s="243"/>
      <c r="M65" s="243"/>
      <c r="N65" s="243"/>
      <c r="O65" s="137"/>
      <c r="P65" s="137"/>
      <c r="Q65" s="137"/>
      <c r="R65" s="137"/>
    </row>
    <row r="66" spans="2:18" ht="84" customHeight="1">
      <c r="B66" s="243"/>
      <c r="C66" s="243"/>
      <c r="D66" s="243"/>
      <c r="E66" s="243"/>
      <c r="F66" s="243"/>
      <c r="G66" s="243" t="s">
        <v>239</v>
      </c>
      <c r="H66" s="243" t="s">
        <v>194</v>
      </c>
      <c r="I66" s="243"/>
      <c r="J66" s="258" t="s">
        <v>195</v>
      </c>
      <c r="K66" s="258"/>
      <c r="L66" s="259" t="s">
        <v>196</v>
      </c>
      <c r="M66" s="259" t="s">
        <v>197</v>
      </c>
      <c r="N66" s="259"/>
      <c r="O66" s="137"/>
      <c r="P66" s="137"/>
      <c r="Q66" s="137"/>
      <c r="R66" s="137"/>
    </row>
    <row r="67" spans="2:18" ht="35.25" customHeight="1">
      <c r="B67" s="243"/>
      <c r="C67" s="243"/>
      <c r="D67" s="243"/>
      <c r="E67" s="243"/>
      <c r="F67" s="243"/>
      <c r="G67" s="243"/>
      <c r="H67" s="243"/>
      <c r="I67" s="243"/>
      <c r="J67" s="258"/>
      <c r="K67" s="258"/>
      <c r="L67" s="259"/>
      <c r="M67" s="169" t="s">
        <v>14</v>
      </c>
      <c r="N67" s="169" t="s">
        <v>198</v>
      </c>
      <c r="O67" s="177"/>
      <c r="P67" s="177"/>
      <c r="Q67" s="138"/>
      <c r="R67" s="138"/>
    </row>
    <row r="68" spans="2:18" ht="15.75" customHeight="1">
      <c r="B68" s="170">
        <v>1</v>
      </c>
      <c r="C68" s="170">
        <v>2</v>
      </c>
      <c r="D68" s="170">
        <v>3</v>
      </c>
      <c r="E68" s="170">
        <v>4</v>
      </c>
      <c r="F68" s="170">
        <v>5</v>
      </c>
      <c r="G68" s="170">
        <v>6</v>
      </c>
      <c r="H68" s="243">
        <v>7</v>
      </c>
      <c r="I68" s="243"/>
      <c r="J68" s="243">
        <v>8</v>
      </c>
      <c r="K68" s="243"/>
      <c r="L68" s="169">
        <v>9</v>
      </c>
      <c r="M68" s="169">
        <v>10</v>
      </c>
      <c r="N68" s="169">
        <v>11</v>
      </c>
      <c r="O68" s="177"/>
      <c r="P68" s="177"/>
      <c r="Q68" s="138"/>
      <c r="R68" s="138"/>
    </row>
    <row r="69" spans="2:18" ht="15.75" customHeight="1">
      <c r="B69" s="139"/>
      <c r="C69" s="140"/>
      <c r="D69" s="115"/>
      <c r="E69" s="167"/>
      <c r="F69" s="167"/>
      <c r="G69" s="167"/>
      <c r="H69" s="231" t="s">
        <v>9</v>
      </c>
      <c r="I69" s="231"/>
      <c r="J69" s="231" t="s">
        <v>9</v>
      </c>
      <c r="K69" s="231"/>
      <c r="L69" s="172" t="s">
        <v>9</v>
      </c>
      <c r="M69" s="172" t="s">
        <v>9</v>
      </c>
      <c r="N69" s="172" t="s">
        <v>9</v>
      </c>
      <c r="O69" s="141"/>
      <c r="P69" s="141"/>
      <c r="Q69" s="138"/>
      <c r="R69" s="138"/>
    </row>
    <row r="70" spans="2:18" ht="15.75">
      <c r="B70" s="167"/>
      <c r="C70" s="115"/>
      <c r="D70" s="142" t="s">
        <v>23</v>
      </c>
      <c r="E70" s="183" t="s">
        <v>9</v>
      </c>
      <c r="F70" s="183" t="s">
        <v>9</v>
      </c>
      <c r="G70" s="183"/>
      <c r="H70" s="245"/>
      <c r="I70" s="245"/>
      <c r="J70" s="245"/>
      <c r="K70" s="245"/>
      <c r="L70" s="174"/>
      <c r="M70" s="174"/>
      <c r="N70" s="174"/>
      <c r="O70" s="137"/>
      <c r="P70" s="137"/>
      <c r="Q70" s="138"/>
      <c r="R70" s="138"/>
    </row>
    <row r="71" spans="2:18" ht="15" customHeight="1">
      <c r="N71" s="117"/>
    </row>
    <row r="72" spans="2:18" ht="24" customHeight="1">
      <c r="B72" s="74"/>
      <c r="C72" s="269" t="s">
        <v>248</v>
      </c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74"/>
      <c r="P72" s="74"/>
    </row>
    <row r="73" spans="2:18" ht="5.25" customHeight="1">
      <c r="B73" s="74"/>
      <c r="C73" s="74"/>
      <c r="D73" s="74"/>
      <c r="E73" s="74"/>
      <c r="F73" s="73"/>
      <c r="G73" s="73"/>
      <c r="H73" s="73"/>
      <c r="I73" s="73"/>
      <c r="J73" s="73"/>
      <c r="K73" s="73"/>
      <c r="L73" s="73"/>
      <c r="M73" s="73"/>
      <c r="N73" s="74"/>
      <c r="O73" s="74"/>
      <c r="P73" s="74"/>
    </row>
    <row r="74" spans="2:18" ht="21.75" customHeight="1">
      <c r="B74" s="74"/>
      <c r="C74" s="269" t="s">
        <v>256</v>
      </c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74"/>
      <c r="P74" s="74"/>
    </row>
    <row r="75" spans="2:18" ht="15.75" customHeight="1"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</row>
    <row r="76" spans="2:18" ht="21" customHeight="1">
      <c r="B76" s="243" t="s">
        <v>191</v>
      </c>
      <c r="C76" s="243" t="s">
        <v>2</v>
      </c>
      <c r="D76" s="243" t="s">
        <v>24</v>
      </c>
      <c r="E76" s="248" t="s">
        <v>219</v>
      </c>
      <c r="F76" s="249"/>
      <c r="G76" s="243" t="s">
        <v>220</v>
      </c>
      <c r="H76" s="246" t="s">
        <v>249</v>
      </c>
      <c r="I76" s="243" t="s">
        <v>193</v>
      </c>
      <c r="J76" s="243"/>
      <c r="K76" s="243"/>
      <c r="L76" s="243"/>
      <c r="M76" s="243"/>
      <c r="N76" s="243"/>
      <c r="O76" s="243"/>
      <c r="P76" s="137"/>
      <c r="Q76" s="137"/>
      <c r="R76" s="137"/>
    </row>
    <row r="77" spans="2:18" ht="81" customHeight="1">
      <c r="B77" s="243"/>
      <c r="C77" s="243"/>
      <c r="D77" s="243"/>
      <c r="E77" s="256"/>
      <c r="F77" s="257"/>
      <c r="G77" s="243"/>
      <c r="H77" s="247"/>
      <c r="I77" s="243" t="s">
        <v>194</v>
      </c>
      <c r="J77" s="243"/>
      <c r="K77" s="258" t="s">
        <v>195</v>
      </c>
      <c r="L77" s="258"/>
      <c r="M77" s="259" t="s">
        <v>196</v>
      </c>
      <c r="N77" s="259" t="s">
        <v>197</v>
      </c>
      <c r="O77" s="259"/>
      <c r="P77" s="179"/>
      <c r="Q77" s="137"/>
      <c r="R77" s="137"/>
    </row>
    <row r="78" spans="2:18" ht="31.5">
      <c r="B78" s="243"/>
      <c r="C78" s="243"/>
      <c r="D78" s="243"/>
      <c r="E78" s="250"/>
      <c r="F78" s="251"/>
      <c r="G78" s="243"/>
      <c r="H78" s="184" t="s">
        <v>239</v>
      </c>
      <c r="I78" s="243"/>
      <c r="J78" s="243"/>
      <c r="K78" s="258"/>
      <c r="L78" s="258"/>
      <c r="M78" s="259"/>
      <c r="N78" s="169" t="s">
        <v>14</v>
      </c>
      <c r="O78" s="169" t="s">
        <v>198</v>
      </c>
      <c r="P78" s="179"/>
      <c r="Q78" s="177"/>
      <c r="R78" s="177"/>
    </row>
    <row r="79" spans="2:18" ht="15.75" customHeight="1">
      <c r="B79" s="170">
        <v>1</v>
      </c>
      <c r="C79" s="170">
        <v>2</v>
      </c>
      <c r="D79" s="170">
        <v>3</v>
      </c>
      <c r="E79" s="143">
        <v>4</v>
      </c>
      <c r="F79" s="79"/>
      <c r="G79" s="170">
        <v>5</v>
      </c>
      <c r="H79" s="171">
        <v>7</v>
      </c>
      <c r="I79" s="243">
        <v>8</v>
      </c>
      <c r="J79" s="243"/>
      <c r="K79" s="243">
        <v>9</v>
      </c>
      <c r="L79" s="243"/>
      <c r="M79" s="169">
        <v>10</v>
      </c>
      <c r="N79" s="169">
        <v>11</v>
      </c>
      <c r="O79" s="169">
        <v>12</v>
      </c>
      <c r="P79" s="179"/>
      <c r="Q79" s="177"/>
      <c r="R79" s="177"/>
    </row>
    <row r="80" spans="2:18" ht="31.5">
      <c r="B80" s="167">
        <v>851</v>
      </c>
      <c r="C80" s="167" t="s">
        <v>199</v>
      </c>
      <c r="D80" s="80" t="s">
        <v>269</v>
      </c>
      <c r="E80" s="272">
        <f>ROUND((H80*100/G80),0)</f>
        <v>6510455</v>
      </c>
      <c r="F80" s="273"/>
      <c r="G80" s="167">
        <v>2.2000000000000002</v>
      </c>
      <c r="H80" s="185">
        <f>143230</f>
        <v>143230</v>
      </c>
      <c r="I80" s="229" t="s">
        <v>9</v>
      </c>
      <c r="J80" s="230"/>
      <c r="K80" s="229" t="s">
        <v>9</v>
      </c>
      <c r="L80" s="230"/>
      <c r="M80" s="166" t="s">
        <v>9</v>
      </c>
      <c r="N80" s="167" t="s">
        <v>9</v>
      </c>
      <c r="O80" s="167" t="s">
        <v>9</v>
      </c>
      <c r="Q80" s="72">
        <f>E80*G80%</f>
        <v>143230.01</v>
      </c>
    </row>
    <row r="81" spans="2:20" ht="15.75">
      <c r="B81" s="167">
        <v>851</v>
      </c>
      <c r="C81" s="167" t="s">
        <v>177</v>
      </c>
      <c r="D81" s="80" t="s">
        <v>270</v>
      </c>
      <c r="E81" s="229">
        <v>7623383</v>
      </c>
      <c r="F81" s="230"/>
      <c r="G81" s="167">
        <v>1.5</v>
      </c>
      <c r="H81" s="185">
        <f>84149+431.66+76508.34</f>
        <v>161089</v>
      </c>
      <c r="I81" s="229" t="s">
        <v>9</v>
      </c>
      <c r="J81" s="230"/>
      <c r="K81" s="229" t="s">
        <v>9</v>
      </c>
      <c r="L81" s="230"/>
      <c r="M81" s="166" t="s">
        <v>9</v>
      </c>
      <c r="N81" s="167" t="s">
        <v>9</v>
      </c>
      <c r="O81" s="167" t="s">
        <v>9</v>
      </c>
    </row>
    <row r="82" spans="2:20" ht="15.75">
      <c r="B82" s="167"/>
      <c r="C82" s="115"/>
      <c r="D82" s="142" t="s">
        <v>23</v>
      </c>
      <c r="E82" s="285" t="s">
        <v>9</v>
      </c>
      <c r="F82" s="286"/>
      <c r="G82" s="183" t="s">
        <v>9</v>
      </c>
      <c r="H82" s="194">
        <f>SUM(H80:H81)</f>
        <v>304319</v>
      </c>
      <c r="I82" s="244">
        <f>H82</f>
        <v>304319</v>
      </c>
      <c r="J82" s="245"/>
      <c r="K82" s="244">
        <v>0</v>
      </c>
      <c r="L82" s="244"/>
      <c r="M82" s="173">
        <v>0</v>
      </c>
      <c r="N82" s="173">
        <v>0</v>
      </c>
      <c r="O82" s="173">
        <v>0</v>
      </c>
      <c r="P82" s="90"/>
      <c r="Q82" s="81" t="s">
        <v>315</v>
      </c>
      <c r="R82" s="144"/>
    </row>
    <row r="83" spans="2:20" ht="15" customHeight="1">
      <c r="O83" s="117"/>
      <c r="P83" s="117"/>
      <c r="Q83" s="117"/>
      <c r="R83" s="117"/>
    </row>
    <row r="84" spans="2:20" ht="21" customHeight="1">
      <c r="B84" s="74"/>
      <c r="C84" s="269" t="s">
        <v>257</v>
      </c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74"/>
      <c r="O84" s="74"/>
      <c r="P84" s="74"/>
    </row>
    <row r="85" spans="2:20" ht="15.75" customHeight="1"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</row>
    <row r="86" spans="2:20" ht="31.5" customHeight="1">
      <c r="B86" s="243" t="s">
        <v>191</v>
      </c>
      <c r="C86" s="243" t="s">
        <v>2</v>
      </c>
      <c r="D86" s="243" t="s">
        <v>24</v>
      </c>
      <c r="E86" s="246" t="s">
        <v>221</v>
      </c>
      <c r="F86" s="243" t="s">
        <v>193</v>
      </c>
      <c r="G86" s="243"/>
      <c r="H86" s="243"/>
      <c r="I86" s="243"/>
      <c r="J86" s="243"/>
      <c r="K86" s="243"/>
      <c r="L86" s="243"/>
      <c r="M86" s="137"/>
      <c r="N86" s="137"/>
      <c r="O86" s="137"/>
      <c r="P86" s="137"/>
    </row>
    <row r="87" spans="2:20" ht="99" customHeight="1">
      <c r="B87" s="243"/>
      <c r="C87" s="243"/>
      <c r="D87" s="243"/>
      <c r="E87" s="270"/>
      <c r="F87" s="243" t="s">
        <v>194</v>
      </c>
      <c r="G87" s="243"/>
      <c r="H87" s="258" t="s">
        <v>195</v>
      </c>
      <c r="I87" s="258"/>
      <c r="J87" s="259" t="s">
        <v>196</v>
      </c>
      <c r="K87" s="259" t="s">
        <v>197</v>
      </c>
      <c r="L87" s="259"/>
      <c r="M87" s="137"/>
      <c r="N87" s="284"/>
      <c r="O87" s="284"/>
      <c r="P87" s="177"/>
    </row>
    <row r="88" spans="2:20" ht="31.5">
      <c r="B88" s="243"/>
      <c r="C88" s="243"/>
      <c r="D88" s="243"/>
      <c r="E88" s="247"/>
      <c r="F88" s="243"/>
      <c r="G88" s="243"/>
      <c r="H88" s="258"/>
      <c r="I88" s="258"/>
      <c r="J88" s="259"/>
      <c r="K88" s="169" t="s">
        <v>14</v>
      </c>
      <c r="L88" s="169" t="s">
        <v>198</v>
      </c>
      <c r="M88" s="137"/>
      <c r="N88" s="177"/>
      <c r="O88" s="177"/>
      <c r="P88" s="177"/>
    </row>
    <row r="89" spans="2:20" ht="15.75" customHeight="1">
      <c r="B89" s="170">
        <v>1</v>
      </c>
      <c r="C89" s="170">
        <v>2</v>
      </c>
      <c r="D89" s="170">
        <v>3</v>
      </c>
      <c r="E89" s="170">
        <v>4</v>
      </c>
      <c r="F89" s="243">
        <v>5</v>
      </c>
      <c r="G89" s="243"/>
      <c r="H89" s="243">
        <v>6</v>
      </c>
      <c r="I89" s="243"/>
      <c r="J89" s="169">
        <v>7</v>
      </c>
      <c r="K89" s="169">
        <v>8</v>
      </c>
      <c r="L89" s="169">
        <v>9</v>
      </c>
      <c r="M89" s="137"/>
      <c r="N89" s="177"/>
      <c r="O89" s="177"/>
      <c r="P89" s="177"/>
    </row>
    <row r="90" spans="2:20" ht="15.75">
      <c r="B90" s="145"/>
      <c r="C90" s="187"/>
      <c r="D90" s="80"/>
      <c r="E90" s="187"/>
      <c r="F90" s="279" t="s">
        <v>9</v>
      </c>
      <c r="G90" s="279"/>
      <c r="H90" s="279" t="s">
        <v>9</v>
      </c>
      <c r="I90" s="279"/>
      <c r="J90" s="172" t="s">
        <v>9</v>
      </c>
      <c r="K90" s="172" t="s">
        <v>9</v>
      </c>
      <c r="L90" s="172" t="s">
        <v>9</v>
      </c>
      <c r="M90" s="137"/>
      <c r="N90" s="141"/>
      <c r="O90" s="141"/>
      <c r="P90" s="141"/>
    </row>
    <row r="91" spans="2:20" ht="15.75" customHeight="1">
      <c r="B91" s="145"/>
      <c r="C91" s="146"/>
      <c r="D91" s="142" t="s">
        <v>23</v>
      </c>
      <c r="E91" s="188">
        <f>SUM(E90)</f>
        <v>0</v>
      </c>
      <c r="F91" s="287">
        <f>E91</f>
        <v>0</v>
      </c>
      <c r="G91" s="288"/>
      <c r="H91" s="280">
        <v>0</v>
      </c>
      <c r="I91" s="280"/>
      <c r="J91" s="173">
        <v>0</v>
      </c>
      <c r="K91" s="173">
        <v>0</v>
      </c>
      <c r="L91" s="173">
        <v>0</v>
      </c>
      <c r="M91" s="137"/>
      <c r="N91" s="137"/>
      <c r="O91" s="137"/>
      <c r="P91" s="137"/>
      <c r="Q91" s="81" t="s">
        <v>316</v>
      </c>
    </row>
    <row r="92" spans="2:20" ht="15.75"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</row>
    <row r="93" spans="2:20" ht="15.75" customHeight="1">
      <c r="B93" s="74"/>
      <c r="C93" s="278" t="s">
        <v>258</v>
      </c>
      <c r="D93" s="278"/>
      <c r="E93" s="278"/>
      <c r="F93" s="278"/>
      <c r="G93" s="278"/>
      <c r="H93" s="278"/>
      <c r="I93" s="278"/>
      <c r="J93" s="278"/>
      <c r="K93" s="278"/>
      <c r="L93" s="278"/>
      <c r="M93" s="278"/>
      <c r="N93" s="74"/>
      <c r="O93" s="74"/>
      <c r="P93" s="74"/>
    </row>
    <row r="94" spans="2:20" ht="15.75"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</row>
    <row r="95" spans="2:20" ht="31.5" customHeight="1">
      <c r="B95" s="243" t="s">
        <v>191</v>
      </c>
      <c r="C95" s="243" t="s">
        <v>2</v>
      </c>
      <c r="D95" s="243" t="s">
        <v>24</v>
      </c>
      <c r="E95" s="246" t="s">
        <v>221</v>
      </c>
      <c r="F95" s="243" t="s">
        <v>193</v>
      </c>
      <c r="G95" s="243"/>
      <c r="H95" s="243"/>
      <c r="I95" s="243"/>
      <c r="J95" s="243"/>
      <c r="K95" s="243"/>
      <c r="L95" s="243"/>
      <c r="M95" s="137"/>
      <c r="N95" s="137"/>
      <c r="O95" s="137"/>
      <c r="P95" s="137"/>
    </row>
    <row r="96" spans="2:20" ht="99" customHeight="1">
      <c r="B96" s="243"/>
      <c r="C96" s="243"/>
      <c r="D96" s="243"/>
      <c r="E96" s="270"/>
      <c r="F96" s="243" t="s">
        <v>194</v>
      </c>
      <c r="G96" s="243"/>
      <c r="H96" s="258" t="s">
        <v>195</v>
      </c>
      <c r="I96" s="258"/>
      <c r="J96" s="259" t="s">
        <v>196</v>
      </c>
      <c r="K96" s="259" t="s">
        <v>197</v>
      </c>
      <c r="L96" s="259"/>
      <c r="M96" s="137"/>
      <c r="N96" s="284"/>
      <c r="O96" s="284"/>
      <c r="P96" s="177"/>
      <c r="T96" s="72" t="s">
        <v>367</v>
      </c>
    </row>
    <row r="97" spans="2:21" ht="31.5" customHeight="1">
      <c r="B97" s="243"/>
      <c r="C97" s="243"/>
      <c r="D97" s="243"/>
      <c r="E97" s="247"/>
      <c r="F97" s="243"/>
      <c r="G97" s="243"/>
      <c r="H97" s="258"/>
      <c r="I97" s="258"/>
      <c r="J97" s="259"/>
      <c r="K97" s="169" t="s">
        <v>14</v>
      </c>
      <c r="L97" s="169" t="s">
        <v>198</v>
      </c>
      <c r="M97" s="137"/>
      <c r="N97" s="177"/>
      <c r="O97" s="177"/>
      <c r="P97" s="177"/>
      <c r="Q97" s="81" t="s">
        <v>317</v>
      </c>
      <c r="T97" s="72" t="s">
        <v>368</v>
      </c>
    </row>
    <row r="98" spans="2:21" ht="15.75">
      <c r="B98" s="170">
        <v>1</v>
      </c>
      <c r="C98" s="170">
        <v>2</v>
      </c>
      <c r="D98" s="170">
        <v>3</v>
      </c>
      <c r="E98" s="170">
        <v>4</v>
      </c>
      <c r="F98" s="243">
        <v>5</v>
      </c>
      <c r="G98" s="243"/>
      <c r="H98" s="243">
        <v>6</v>
      </c>
      <c r="I98" s="243"/>
      <c r="J98" s="169">
        <v>7</v>
      </c>
      <c r="K98" s="169">
        <v>8</v>
      </c>
      <c r="L98" s="169">
        <v>9</v>
      </c>
      <c r="M98" s="137"/>
      <c r="N98" s="177"/>
      <c r="O98" s="177"/>
      <c r="P98" s="177"/>
    </row>
    <row r="99" spans="2:21" ht="34.5" customHeight="1">
      <c r="B99" s="167">
        <v>853</v>
      </c>
      <c r="C99" s="167" t="s">
        <v>199</v>
      </c>
      <c r="D99" s="147"/>
      <c r="E99" s="69"/>
      <c r="F99" s="231" t="s">
        <v>9</v>
      </c>
      <c r="G99" s="231"/>
      <c r="H99" s="231" t="s">
        <v>9</v>
      </c>
      <c r="I99" s="231"/>
      <c r="J99" s="172" t="s">
        <v>9</v>
      </c>
      <c r="K99" s="172" t="s">
        <v>9</v>
      </c>
      <c r="L99" s="172" t="s">
        <v>9</v>
      </c>
      <c r="M99" s="137"/>
      <c r="N99" s="141"/>
      <c r="O99" s="141"/>
      <c r="P99" s="141"/>
      <c r="Q99" s="81"/>
      <c r="R99" s="81"/>
      <c r="S99" s="148"/>
      <c r="T99" s="72" t="s">
        <v>7</v>
      </c>
      <c r="U99" s="72">
        <f>U96+U97</f>
        <v>0</v>
      </c>
    </row>
    <row r="100" spans="2:21" ht="34.5" hidden="1" customHeight="1">
      <c r="B100" s="167"/>
      <c r="C100" s="167"/>
      <c r="D100" s="147"/>
      <c r="E100" s="69"/>
      <c r="F100" s="231" t="s">
        <v>9</v>
      </c>
      <c r="G100" s="231"/>
      <c r="H100" s="231" t="s">
        <v>9</v>
      </c>
      <c r="I100" s="231"/>
      <c r="J100" s="172" t="s">
        <v>9</v>
      </c>
      <c r="K100" s="172" t="s">
        <v>9</v>
      </c>
      <c r="L100" s="172" t="s">
        <v>9</v>
      </c>
      <c r="M100" s="137"/>
      <c r="N100" s="141"/>
      <c r="O100" s="141"/>
      <c r="P100" s="141"/>
      <c r="Q100" s="81"/>
      <c r="R100" s="81"/>
      <c r="S100" s="148"/>
    </row>
    <row r="101" spans="2:21" ht="34.5" hidden="1" customHeight="1">
      <c r="B101" s="167">
        <v>853</v>
      </c>
      <c r="C101" s="167" t="s">
        <v>177</v>
      </c>
      <c r="D101" s="147"/>
      <c r="E101" s="69"/>
      <c r="F101" s="231" t="s">
        <v>9</v>
      </c>
      <c r="G101" s="231"/>
      <c r="H101" s="231" t="s">
        <v>9</v>
      </c>
      <c r="I101" s="231"/>
      <c r="J101" s="172" t="s">
        <v>9</v>
      </c>
      <c r="K101" s="172" t="s">
        <v>9</v>
      </c>
      <c r="L101" s="172" t="s">
        <v>9</v>
      </c>
      <c r="M101" s="137"/>
      <c r="N101" s="141"/>
      <c r="O101" s="141"/>
      <c r="P101" s="141"/>
      <c r="Q101" s="81"/>
      <c r="R101" s="81"/>
      <c r="S101" s="148"/>
    </row>
    <row r="102" spans="2:21" ht="15.75">
      <c r="B102" s="167"/>
      <c r="C102" s="146"/>
      <c r="D102" s="142" t="s">
        <v>23</v>
      </c>
      <c r="E102" s="191">
        <f>SUM(E99:E101)</f>
        <v>0</v>
      </c>
      <c r="F102" s="283">
        <f>U96</f>
        <v>0</v>
      </c>
      <c r="G102" s="283"/>
      <c r="H102" s="280">
        <v>0</v>
      </c>
      <c r="I102" s="280"/>
      <c r="J102" s="173">
        <v>0</v>
      </c>
      <c r="K102" s="64">
        <f>U97</f>
        <v>0</v>
      </c>
      <c r="L102" s="173">
        <v>0</v>
      </c>
      <c r="M102" s="137"/>
      <c r="N102" s="137"/>
      <c r="O102" s="137"/>
      <c r="P102" s="137"/>
      <c r="Q102" s="72" t="b">
        <f>E102=U99</f>
        <v>1</v>
      </c>
    </row>
    <row r="103" spans="2:21" ht="15" customHeight="1">
      <c r="L103" s="117"/>
    </row>
    <row r="104" spans="2:21" ht="24.75" customHeight="1">
      <c r="B104" s="74"/>
      <c r="C104" s="269" t="s">
        <v>282</v>
      </c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74"/>
      <c r="O104" s="74"/>
    </row>
    <row r="105" spans="2:21" ht="7.5" customHeight="1">
      <c r="B105" s="74"/>
      <c r="C105" s="74"/>
      <c r="D105" s="74"/>
      <c r="E105" s="73"/>
      <c r="F105" s="73"/>
      <c r="G105" s="73"/>
      <c r="H105" s="73"/>
      <c r="I105" s="73"/>
      <c r="J105" s="73"/>
      <c r="K105" s="73"/>
      <c r="L105" s="73"/>
      <c r="M105" s="73"/>
      <c r="N105" s="74"/>
      <c r="O105" s="74"/>
    </row>
    <row r="106" spans="2:21" ht="23.25" customHeight="1">
      <c r="B106" s="74"/>
      <c r="C106" s="269" t="s">
        <v>283</v>
      </c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74"/>
      <c r="O106" s="74"/>
    </row>
    <row r="107" spans="2:21" ht="15.75"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21" ht="31.5" customHeight="1">
      <c r="B108" s="243" t="s">
        <v>191</v>
      </c>
      <c r="C108" s="243" t="s">
        <v>2</v>
      </c>
      <c r="D108" s="243" t="s">
        <v>3</v>
      </c>
      <c r="E108" s="243" t="s">
        <v>222</v>
      </c>
      <c r="F108" s="243" t="s">
        <v>223</v>
      </c>
      <c r="G108" s="170" t="s">
        <v>224</v>
      </c>
      <c r="H108" s="243" t="s">
        <v>193</v>
      </c>
      <c r="I108" s="243"/>
      <c r="J108" s="243"/>
      <c r="K108" s="243"/>
      <c r="L108" s="243"/>
      <c r="M108" s="243"/>
      <c r="N108" s="243"/>
      <c r="O108" s="243"/>
    </row>
    <row r="109" spans="2:21" ht="99" customHeight="1">
      <c r="B109" s="243"/>
      <c r="C109" s="243"/>
      <c r="D109" s="243"/>
      <c r="E109" s="243"/>
      <c r="F109" s="243"/>
      <c r="G109" s="243" t="s">
        <v>239</v>
      </c>
      <c r="H109" s="243" t="s">
        <v>194</v>
      </c>
      <c r="I109" s="243"/>
      <c r="J109" s="258" t="s">
        <v>195</v>
      </c>
      <c r="K109" s="258"/>
      <c r="L109" s="243" t="s">
        <v>196</v>
      </c>
      <c r="M109" s="243"/>
      <c r="N109" s="243" t="s">
        <v>197</v>
      </c>
      <c r="O109" s="243"/>
    </row>
    <row r="110" spans="2:21" ht="31.5">
      <c r="B110" s="243"/>
      <c r="C110" s="243"/>
      <c r="D110" s="243"/>
      <c r="E110" s="243"/>
      <c r="F110" s="243"/>
      <c r="G110" s="243"/>
      <c r="H110" s="243"/>
      <c r="I110" s="243"/>
      <c r="J110" s="258"/>
      <c r="K110" s="258"/>
      <c r="L110" s="243"/>
      <c r="M110" s="243"/>
      <c r="N110" s="170" t="s">
        <v>14</v>
      </c>
      <c r="O110" s="170" t="s">
        <v>198</v>
      </c>
    </row>
    <row r="111" spans="2:21" ht="15.75">
      <c r="B111" s="170">
        <v>1</v>
      </c>
      <c r="C111" s="170">
        <v>2</v>
      </c>
      <c r="D111" s="170">
        <v>3</v>
      </c>
      <c r="E111" s="170">
        <v>4</v>
      </c>
      <c r="F111" s="170">
        <v>5</v>
      </c>
      <c r="G111" s="170">
        <v>6</v>
      </c>
      <c r="H111" s="243">
        <v>7</v>
      </c>
      <c r="I111" s="243"/>
      <c r="J111" s="243">
        <v>8</v>
      </c>
      <c r="K111" s="243"/>
      <c r="L111" s="243">
        <v>9</v>
      </c>
      <c r="M111" s="243"/>
      <c r="N111" s="170">
        <v>10</v>
      </c>
      <c r="O111" s="170">
        <v>11</v>
      </c>
    </row>
    <row r="112" spans="2:21" ht="15.75">
      <c r="B112" s="115"/>
      <c r="C112" s="187" t="s">
        <v>199</v>
      </c>
      <c r="D112" s="80"/>
      <c r="E112" s="187"/>
      <c r="F112" s="187"/>
      <c r="G112" s="115"/>
      <c r="H112" s="281" t="s">
        <v>9</v>
      </c>
      <c r="I112" s="282"/>
      <c r="J112" s="281" t="s">
        <v>9</v>
      </c>
      <c r="K112" s="282"/>
      <c r="L112" s="281" t="s">
        <v>9</v>
      </c>
      <c r="M112" s="282"/>
      <c r="N112" s="187" t="s">
        <v>9</v>
      </c>
      <c r="O112" s="187" t="s">
        <v>9</v>
      </c>
    </row>
    <row r="113" spans="2:18" ht="15.75">
      <c r="B113" s="115"/>
      <c r="C113" s="187"/>
      <c r="D113" s="142" t="s">
        <v>23</v>
      </c>
      <c r="E113" s="189" t="s">
        <v>9</v>
      </c>
      <c r="F113" s="189" t="s">
        <v>9</v>
      </c>
      <c r="G113" s="190">
        <f>SUM(G112)</f>
        <v>0</v>
      </c>
      <c r="H113" s="280">
        <v>0</v>
      </c>
      <c r="I113" s="280"/>
      <c r="J113" s="280">
        <v>0</v>
      </c>
      <c r="K113" s="280"/>
      <c r="L113" s="280">
        <v>0</v>
      </c>
      <c r="M113" s="280"/>
      <c r="N113" s="190">
        <v>0</v>
      </c>
      <c r="O113" s="190">
        <v>0</v>
      </c>
    </row>
    <row r="114" spans="2:18" ht="15.75"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</row>
    <row r="115" spans="2:18" ht="43.5" customHeight="1">
      <c r="B115" s="74"/>
      <c r="C115" s="269" t="s">
        <v>284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74"/>
      <c r="O115" s="74"/>
    </row>
    <row r="116" spans="2:18" ht="17.25" customHeight="1">
      <c r="B116" s="74"/>
      <c r="C116" s="74"/>
      <c r="D116" s="74"/>
      <c r="E116" s="168"/>
      <c r="F116" s="176"/>
      <c r="G116" s="176"/>
      <c r="H116" s="176"/>
      <c r="I116" s="176"/>
      <c r="J116" s="176"/>
      <c r="K116" s="176"/>
      <c r="L116" s="176"/>
      <c r="M116" s="176"/>
      <c r="N116" s="74"/>
      <c r="O116" s="74"/>
    </row>
    <row r="117" spans="2:18" ht="63" customHeight="1">
      <c r="B117" s="243" t="s">
        <v>191</v>
      </c>
      <c r="C117" s="243" t="s">
        <v>2</v>
      </c>
      <c r="D117" s="243" t="s">
        <v>3</v>
      </c>
      <c r="E117" s="243" t="s">
        <v>216</v>
      </c>
      <c r="F117" s="243" t="s">
        <v>34</v>
      </c>
      <c r="G117" s="170" t="s">
        <v>218</v>
      </c>
      <c r="H117" s="243" t="s">
        <v>193</v>
      </c>
      <c r="I117" s="243"/>
      <c r="J117" s="243"/>
      <c r="K117" s="243"/>
      <c r="L117" s="243"/>
      <c r="M117" s="243"/>
      <c r="N117" s="243"/>
      <c r="O117" s="243"/>
    </row>
    <row r="118" spans="2:18" ht="99" customHeight="1">
      <c r="B118" s="243"/>
      <c r="C118" s="243"/>
      <c r="D118" s="243"/>
      <c r="E118" s="243"/>
      <c r="F118" s="243"/>
      <c r="G118" s="243" t="s">
        <v>239</v>
      </c>
      <c r="H118" s="243" t="s">
        <v>194</v>
      </c>
      <c r="I118" s="243"/>
      <c r="J118" s="258" t="s">
        <v>195</v>
      </c>
      <c r="K118" s="258"/>
      <c r="L118" s="243" t="s">
        <v>196</v>
      </c>
      <c r="M118" s="243"/>
      <c r="N118" s="243" t="s">
        <v>197</v>
      </c>
      <c r="O118" s="243"/>
    </row>
    <row r="119" spans="2:18" ht="31.5">
      <c r="B119" s="243"/>
      <c r="C119" s="243"/>
      <c r="D119" s="243"/>
      <c r="E119" s="243"/>
      <c r="F119" s="243"/>
      <c r="G119" s="243"/>
      <c r="H119" s="243"/>
      <c r="I119" s="243"/>
      <c r="J119" s="258"/>
      <c r="K119" s="258"/>
      <c r="L119" s="243"/>
      <c r="M119" s="243"/>
      <c r="N119" s="170" t="s">
        <v>14</v>
      </c>
      <c r="O119" s="170" t="s">
        <v>198</v>
      </c>
    </row>
    <row r="120" spans="2:18" ht="15.75">
      <c r="B120" s="170">
        <v>1</v>
      </c>
      <c r="C120" s="170">
        <v>2</v>
      </c>
      <c r="D120" s="170">
        <v>3</v>
      </c>
      <c r="E120" s="170">
        <v>4</v>
      </c>
      <c r="F120" s="170">
        <v>5</v>
      </c>
      <c r="G120" s="170">
        <v>6</v>
      </c>
      <c r="H120" s="243">
        <v>7</v>
      </c>
      <c r="I120" s="243"/>
      <c r="J120" s="243">
        <v>8</v>
      </c>
      <c r="K120" s="243"/>
      <c r="L120" s="243">
        <v>9</v>
      </c>
      <c r="M120" s="243"/>
      <c r="N120" s="170">
        <v>10</v>
      </c>
      <c r="O120" s="170">
        <v>11</v>
      </c>
    </row>
    <row r="121" spans="2:18" ht="18" customHeight="1">
      <c r="B121" s="115"/>
      <c r="C121" s="167" t="s">
        <v>199</v>
      </c>
      <c r="D121" s="115"/>
      <c r="E121" s="80"/>
      <c r="F121" s="80"/>
      <c r="G121" s="80"/>
      <c r="H121" s="279" t="s">
        <v>9</v>
      </c>
      <c r="I121" s="279"/>
      <c r="J121" s="279" t="s">
        <v>9</v>
      </c>
      <c r="K121" s="279"/>
      <c r="L121" s="279" t="s">
        <v>9</v>
      </c>
      <c r="M121" s="279"/>
      <c r="N121" s="187" t="s">
        <v>9</v>
      </c>
      <c r="O121" s="187" t="s">
        <v>9</v>
      </c>
    </row>
    <row r="122" spans="2:18" ht="15.75">
      <c r="B122" s="115"/>
      <c r="C122" s="187"/>
      <c r="D122" s="142" t="s">
        <v>23</v>
      </c>
      <c r="E122" s="189" t="s">
        <v>9</v>
      </c>
      <c r="F122" s="189" t="s">
        <v>9</v>
      </c>
      <c r="G122" s="190">
        <f>SUM(G121)</f>
        <v>0</v>
      </c>
      <c r="H122" s="280">
        <v>0</v>
      </c>
      <c r="I122" s="280"/>
      <c r="J122" s="280">
        <v>0</v>
      </c>
      <c r="K122" s="280"/>
      <c r="L122" s="280">
        <v>0</v>
      </c>
      <c r="M122" s="280"/>
      <c r="N122" s="190">
        <v>0</v>
      </c>
      <c r="O122" s="190">
        <v>0</v>
      </c>
    </row>
    <row r="123" spans="2:18" ht="33" customHeight="1">
      <c r="B123" s="74"/>
      <c r="C123" s="74"/>
      <c r="D123" s="74"/>
      <c r="E123" s="277" t="s">
        <v>285</v>
      </c>
      <c r="F123" s="278"/>
      <c r="G123" s="278"/>
      <c r="H123" s="278"/>
      <c r="I123" s="278"/>
      <c r="J123" s="278"/>
      <c r="K123" s="278"/>
      <c r="L123" s="278"/>
      <c r="M123" s="278"/>
      <c r="N123" s="74"/>
      <c r="O123" s="74"/>
      <c r="P123" s="74"/>
    </row>
    <row r="124" spans="2:18" ht="15.75" customHeight="1"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</row>
    <row r="125" spans="2:18" ht="15.75">
      <c r="B125" s="74"/>
      <c r="C125" s="74"/>
      <c r="D125" s="74"/>
      <c r="E125" s="278" t="s">
        <v>286</v>
      </c>
      <c r="F125" s="278"/>
      <c r="G125" s="278"/>
      <c r="H125" s="278"/>
      <c r="I125" s="278"/>
      <c r="J125" s="278"/>
      <c r="K125" s="278"/>
      <c r="L125" s="278"/>
      <c r="M125" s="278"/>
      <c r="N125" s="74"/>
      <c r="O125" s="74"/>
      <c r="P125" s="74"/>
    </row>
    <row r="126" spans="2:18" ht="15.75" customHeight="1"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</row>
    <row r="127" spans="2:18" ht="31.5" customHeight="1">
      <c r="B127" s="243" t="s">
        <v>191</v>
      </c>
      <c r="C127" s="243" t="s">
        <v>2</v>
      </c>
      <c r="D127" s="243" t="s">
        <v>24</v>
      </c>
      <c r="E127" s="243" t="s">
        <v>225</v>
      </c>
      <c r="F127" s="243" t="s">
        <v>226</v>
      </c>
      <c r="G127" s="243" t="s">
        <v>227</v>
      </c>
      <c r="H127" s="170" t="s">
        <v>207</v>
      </c>
      <c r="I127" s="243" t="s">
        <v>193</v>
      </c>
      <c r="J127" s="243"/>
      <c r="K127" s="243"/>
      <c r="L127" s="243"/>
      <c r="M127" s="243"/>
      <c r="N127" s="243"/>
      <c r="O127" s="243"/>
      <c r="P127" s="137"/>
      <c r="Q127" s="137"/>
      <c r="R127" s="137"/>
    </row>
    <row r="128" spans="2:18" ht="93.75" customHeight="1">
      <c r="B128" s="243"/>
      <c r="C128" s="243"/>
      <c r="D128" s="243"/>
      <c r="E128" s="243"/>
      <c r="F128" s="243"/>
      <c r="G128" s="243"/>
      <c r="H128" s="243" t="s">
        <v>244</v>
      </c>
      <c r="I128" s="243" t="s">
        <v>194</v>
      </c>
      <c r="J128" s="243"/>
      <c r="K128" s="258" t="s">
        <v>195</v>
      </c>
      <c r="L128" s="258"/>
      <c r="M128" s="259" t="s">
        <v>196</v>
      </c>
      <c r="N128" s="259" t="s">
        <v>197</v>
      </c>
      <c r="O128" s="259"/>
      <c r="P128" s="179"/>
      <c r="Q128" s="137"/>
      <c r="R128" s="137"/>
    </row>
    <row r="129" spans="2:18" ht="39" customHeight="1">
      <c r="B129" s="243"/>
      <c r="C129" s="243"/>
      <c r="D129" s="243"/>
      <c r="E129" s="243"/>
      <c r="F129" s="243"/>
      <c r="G129" s="243"/>
      <c r="H129" s="243"/>
      <c r="I129" s="243"/>
      <c r="J129" s="243"/>
      <c r="K129" s="258"/>
      <c r="L129" s="258"/>
      <c r="M129" s="259"/>
      <c r="N129" s="169" t="s">
        <v>14</v>
      </c>
      <c r="O129" s="169" t="s">
        <v>198</v>
      </c>
      <c r="P129" s="179"/>
      <c r="Q129" s="177"/>
      <c r="R129" s="177"/>
    </row>
    <row r="130" spans="2:18" ht="15.75" customHeight="1">
      <c r="B130" s="170">
        <v>1</v>
      </c>
      <c r="C130" s="170">
        <v>2</v>
      </c>
      <c r="D130" s="170">
        <v>3</v>
      </c>
      <c r="E130" s="170">
        <v>4</v>
      </c>
      <c r="F130" s="170">
        <v>5</v>
      </c>
      <c r="G130" s="170">
        <v>6</v>
      </c>
      <c r="H130" s="170">
        <v>7</v>
      </c>
      <c r="I130" s="243">
        <v>8</v>
      </c>
      <c r="J130" s="243"/>
      <c r="K130" s="243">
        <v>9</v>
      </c>
      <c r="L130" s="243"/>
      <c r="M130" s="169">
        <v>10</v>
      </c>
      <c r="N130" s="169">
        <v>11</v>
      </c>
      <c r="O130" s="169">
        <v>12</v>
      </c>
      <c r="P130" s="177"/>
      <c r="Q130" s="177"/>
      <c r="R130" s="177"/>
    </row>
    <row r="131" spans="2:18" ht="31.5">
      <c r="B131" s="167">
        <v>244</v>
      </c>
      <c r="C131" s="167" t="s">
        <v>199</v>
      </c>
      <c r="D131" s="80" t="s">
        <v>242</v>
      </c>
      <c r="E131" s="167">
        <v>1</v>
      </c>
      <c r="F131" s="167">
        <v>12</v>
      </c>
      <c r="G131" s="167">
        <f>ROUND((H131/E131/F131),1)</f>
        <v>1403.9</v>
      </c>
      <c r="H131" s="69">
        <v>16846.23</v>
      </c>
      <c r="I131" s="231" t="s">
        <v>9</v>
      </c>
      <c r="J131" s="231"/>
      <c r="K131" s="231" t="s">
        <v>9</v>
      </c>
      <c r="L131" s="231"/>
      <c r="M131" s="172" t="s">
        <v>9</v>
      </c>
      <c r="N131" s="172" t="s">
        <v>9</v>
      </c>
      <c r="O131" s="172" t="s">
        <v>9</v>
      </c>
      <c r="P131" s="149"/>
      <c r="Q131" s="149"/>
      <c r="R131" s="149"/>
    </row>
    <row r="132" spans="2:18" ht="82.5" hidden="1" customHeight="1">
      <c r="B132" s="167">
        <v>244</v>
      </c>
      <c r="C132" s="167" t="s">
        <v>177</v>
      </c>
      <c r="D132" s="80" t="s">
        <v>243</v>
      </c>
      <c r="E132" s="167">
        <v>1</v>
      </c>
      <c r="F132" s="167">
        <v>12</v>
      </c>
      <c r="G132" s="167">
        <f t="shared" ref="G132:G133" si="5">ROUND((H132/E132/F132),1)</f>
        <v>0</v>
      </c>
      <c r="H132" s="69">
        <v>0</v>
      </c>
      <c r="I132" s="231" t="s">
        <v>9</v>
      </c>
      <c r="J132" s="231"/>
      <c r="K132" s="231" t="s">
        <v>9</v>
      </c>
      <c r="L132" s="231"/>
      <c r="M132" s="172" t="s">
        <v>9</v>
      </c>
      <c r="N132" s="172" t="s">
        <v>9</v>
      </c>
      <c r="O132" s="172" t="s">
        <v>9</v>
      </c>
      <c r="P132" s="149"/>
      <c r="Q132" s="149"/>
      <c r="R132" s="149"/>
    </row>
    <row r="133" spans="2:18" ht="64.5" hidden="1" customHeight="1">
      <c r="B133" s="167">
        <v>244</v>
      </c>
      <c r="C133" s="167" t="s">
        <v>177</v>
      </c>
      <c r="D133" s="80" t="s">
        <v>243</v>
      </c>
      <c r="E133" s="167">
        <v>1</v>
      </c>
      <c r="F133" s="167">
        <v>3</v>
      </c>
      <c r="G133" s="167">
        <f t="shared" si="5"/>
        <v>0</v>
      </c>
      <c r="H133" s="69"/>
      <c r="I133" s="231" t="s">
        <v>9</v>
      </c>
      <c r="J133" s="231"/>
      <c r="K133" s="231" t="s">
        <v>9</v>
      </c>
      <c r="L133" s="231"/>
      <c r="M133" s="172" t="s">
        <v>9</v>
      </c>
      <c r="N133" s="172" t="s">
        <v>9</v>
      </c>
      <c r="O133" s="172" t="s">
        <v>9</v>
      </c>
      <c r="P133" s="149"/>
      <c r="Q133" s="149"/>
      <c r="R133" s="149"/>
    </row>
    <row r="134" spans="2:18" s="151" customFormat="1" ht="15.75">
      <c r="B134" s="145"/>
      <c r="C134" s="183"/>
      <c r="D134" s="142" t="s">
        <v>23</v>
      </c>
      <c r="E134" s="183" t="s">
        <v>9</v>
      </c>
      <c r="F134" s="183" t="s">
        <v>9</v>
      </c>
      <c r="G134" s="183" t="s">
        <v>9</v>
      </c>
      <c r="H134" s="150">
        <f>SUM(H131:H133)</f>
        <v>16846.23</v>
      </c>
      <c r="I134" s="274">
        <f>H134</f>
        <v>16846.23</v>
      </c>
      <c r="J134" s="274"/>
      <c r="K134" s="244">
        <v>0</v>
      </c>
      <c r="L134" s="244"/>
      <c r="M134" s="173">
        <v>0</v>
      </c>
      <c r="N134" s="173">
        <v>0</v>
      </c>
      <c r="O134" s="173">
        <v>0</v>
      </c>
      <c r="P134" s="81"/>
      <c r="Q134" s="81" t="s">
        <v>296</v>
      </c>
      <c r="R134" s="81"/>
    </row>
    <row r="135" spans="2:18" ht="15" customHeight="1"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</row>
    <row r="136" spans="2:18" ht="23.25" customHeight="1">
      <c r="B136" s="74"/>
      <c r="C136" s="74"/>
      <c r="D136" s="74"/>
      <c r="E136" s="269" t="s">
        <v>287</v>
      </c>
      <c r="F136" s="275"/>
      <c r="G136" s="275"/>
      <c r="H136" s="275"/>
      <c r="I136" s="275"/>
      <c r="J136" s="275"/>
      <c r="K136" s="275"/>
      <c r="L136" s="275"/>
      <c r="M136" s="275"/>
      <c r="N136" s="74"/>
      <c r="O136" s="74"/>
      <c r="P136" s="74"/>
    </row>
    <row r="137" spans="2:18" ht="15.75" customHeight="1"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</row>
    <row r="138" spans="2:18" ht="31.5" customHeight="1">
      <c r="B138" s="243" t="s">
        <v>191</v>
      </c>
      <c r="C138" s="243" t="s">
        <v>2</v>
      </c>
      <c r="D138" s="243" t="s">
        <v>24</v>
      </c>
      <c r="E138" s="243" t="s">
        <v>35</v>
      </c>
      <c r="F138" s="243" t="s">
        <v>229</v>
      </c>
      <c r="G138" s="170" t="s">
        <v>207</v>
      </c>
      <c r="H138" s="243" t="s">
        <v>193</v>
      </c>
      <c r="I138" s="243"/>
      <c r="J138" s="243"/>
      <c r="K138" s="243"/>
      <c r="L138" s="243"/>
      <c r="M138" s="243"/>
      <c r="N138" s="243"/>
      <c r="O138" s="137"/>
      <c r="P138" s="137"/>
    </row>
    <row r="139" spans="2:18" ht="87.75" customHeight="1">
      <c r="B139" s="243"/>
      <c r="C139" s="243"/>
      <c r="D139" s="243"/>
      <c r="E139" s="243"/>
      <c r="F139" s="243"/>
      <c r="G139" s="243" t="s">
        <v>239</v>
      </c>
      <c r="H139" s="243" t="s">
        <v>194</v>
      </c>
      <c r="I139" s="243"/>
      <c r="J139" s="258" t="s">
        <v>195</v>
      </c>
      <c r="K139" s="258"/>
      <c r="L139" s="259" t="s">
        <v>196</v>
      </c>
      <c r="M139" s="259" t="s">
        <v>197</v>
      </c>
      <c r="N139" s="259"/>
      <c r="O139" s="137"/>
      <c r="P139" s="177" t="s">
        <v>331</v>
      </c>
    </row>
    <row r="140" spans="2:18" ht="36" customHeight="1">
      <c r="B140" s="243"/>
      <c r="C140" s="243"/>
      <c r="D140" s="243"/>
      <c r="E140" s="243"/>
      <c r="F140" s="243"/>
      <c r="G140" s="243"/>
      <c r="H140" s="243"/>
      <c r="I140" s="243"/>
      <c r="J140" s="258"/>
      <c r="K140" s="258"/>
      <c r="L140" s="259"/>
      <c r="M140" s="169" t="s">
        <v>14</v>
      </c>
      <c r="N140" s="169" t="s">
        <v>198</v>
      </c>
      <c r="O140" s="177"/>
      <c r="P140" s="177"/>
    </row>
    <row r="141" spans="2:18" ht="15.75" customHeight="1">
      <c r="B141" s="170">
        <v>1</v>
      </c>
      <c r="C141" s="170">
        <v>2</v>
      </c>
      <c r="D141" s="170">
        <v>3</v>
      </c>
      <c r="E141" s="170">
        <v>4</v>
      </c>
      <c r="F141" s="170">
        <v>5</v>
      </c>
      <c r="G141" s="170">
        <v>6</v>
      </c>
      <c r="H141" s="243">
        <v>7</v>
      </c>
      <c r="I141" s="243"/>
      <c r="J141" s="243">
        <v>8</v>
      </c>
      <c r="K141" s="243"/>
      <c r="L141" s="169">
        <v>9</v>
      </c>
      <c r="M141" s="169">
        <v>10</v>
      </c>
      <c r="N141" s="169">
        <v>11</v>
      </c>
      <c r="O141" s="177"/>
      <c r="P141" s="177"/>
    </row>
    <row r="142" spans="2:18" ht="15.75">
      <c r="B142" s="167"/>
      <c r="C142" s="167"/>
      <c r="D142" s="80"/>
      <c r="E142" s="192"/>
      <c r="F142" s="192"/>
      <c r="G142" s="192"/>
      <c r="H142" s="276" t="s">
        <v>9</v>
      </c>
      <c r="I142" s="276"/>
      <c r="J142" s="276" t="s">
        <v>9</v>
      </c>
      <c r="K142" s="276"/>
      <c r="L142" s="172" t="s">
        <v>9</v>
      </c>
      <c r="M142" s="172" t="s">
        <v>9</v>
      </c>
      <c r="N142" s="172" t="s">
        <v>9</v>
      </c>
      <c r="O142" s="152"/>
      <c r="P142" s="152"/>
    </row>
    <row r="143" spans="2:18" s="151" customFormat="1" ht="15.75" customHeight="1">
      <c r="B143" s="146"/>
      <c r="C143" s="146"/>
      <c r="D143" s="142" t="s">
        <v>23</v>
      </c>
      <c r="E143" s="186" t="s">
        <v>9</v>
      </c>
      <c r="F143" s="186" t="s">
        <v>9</v>
      </c>
      <c r="G143" s="186"/>
      <c r="H143" s="244"/>
      <c r="I143" s="244"/>
      <c r="J143" s="244"/>
      <c r="K143" s="244"/>
      <c r="L143" s="174"/>
      <c r="M143" s="174"/>
      <c r="N143" s="174"/>
      <c r="O143" s="81"/>
      <c r="P143" s="81"/>
      <c r="Q143" s="81" t="s">
        <v>299</v>
      </c>
      <c r="R143" s="81"/>
    </row>
    <row r="144" spans="2:18" ht="15.75"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</row>
    <row r="145" spans="2:18" ht="33" customHeight="1">
      <c r="B145" s="74"/>
      <c r="C145" s="74"/>
      <c r="D145" s="74"/>
      <c r="E145" s="269" t="s">
        <v>288</v>
      </c>
      <c r="F145" s="275"/>
      <c r="G145" s="275"/>
      <c r="H145" s="275"/>
      <c r="I145" s="275"/>
      <c r="J145" s="275"/>
      <c r="K145" s="275"/>
      <c r="L145" s="275"/>
      <c r="M145" s="275"/>
      <c r="N145" s="74"/>
      <c r="O145" s="74"/>
      <c r="P145" s="74"/>
    </row>
    <row r="146" spans="2:18" ht="15.75"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117"/>
      <c r="R146" s="117"/>
    </row>
    <row r="147" spans="2:18" ht="31.5" customHeight="1">
      <c r="B147" s="243" t="s">
        <v>191</v>
      </c>
      <c r="C147" s="243" t="s">
        <v>2</v>
      </c>
      <c r="D147" s="248" t="s">
        <v>3</v>
      </c>
      <c r="E147" s="249"/>
      <c r="F147" s="243" t="s">
        <v>36</v>
      </c>
      <c r="G147" s="243" t="s">
        <v>230</v>
      </c>
      <c r="H147" s="243" t="s">
        <v>231</v>
      </c>
      <c r="I147" s="170" t="s">
        <v>207</v>
      </c>
      <c r="J147" s="243" t="s">
        <v>193</v>
      </c>
      <c r="K147" s="243"/>
      <c r="L147" s="243"/>
      <c r="M147" s="243"/>
      <c r="N147" s="243"/>
      <c r="O147" s="243"/>
      <c r="P147" s="243"/>
      <c r="Q147" s="137"/>
      <c r="R147" s="137"/>
    </row>
    <row r="148" spans="2:18" ht="96.75" customHeight="1">
      <c r="B148" s="243"/>
      <c r="C148" s="243"/>
      <c r="D148" s="256"/>
      <c r="E148" s="257"/>
      <c r="F148" s="243"/>
      <c r="G148" s="243"/>
      <c r="H148" s="243"/>
      <c r="I148" s="243" t="s">
        <v>265</v>
      </c>
      <c r="J148" s="243" t="s">
        <v>194</v>
      </c>
      <c r="K148" s="243"/>
      <c r="L148" s="258" t="s">
        <v>195</v>
      </c>
      <c r="M148" s="258"/>
      <c r="N148" s="259" t="s">
        <v>196</v>
      </c>
      <c r="O148" s="259" t="s">
        <v>197</v>
      </c>
      <c r="P148" s="259"/>
      <c r="Q148" s="137"/>
      <c r="R148" s="137"/>
    </row>
    <row r="149" spans="2:18" ht="31.5" customHeight="1">
      <c r="B149" s="243"/>
      <c r="C149" s="243"/>
      <c r="D149" s="250"/>
      <c r="E149" s="251"/>
      <c r="F149" s="243"/>
      <c r="G149" s="243"/>
      <c r="H149" s="243"/>
      <c r="I149" s="243"/>
      <c r="J149" s="243"/>
      <c r="K149" s="243"/>
      <c r="L149" s="258"/>
      <c r="M149" s="258"/>
      <c r="N149" s="259"/>
      <c r="O149" s="169" t="s">
        <v>14</v>
      </c>
      <c r="P149" s="169" t="s">
        <v>198</v>
      </c>
      <c r="Q149" s="177"/>
      <c r="R149" s="177"/>
    </row>
    <row r="150" spans="2:18" ht="15.75">
      <c r="B150" s="170">
        <v>1</v>
      </c>
      <c r="C150" s="170">
        <v>2</v>
      </c>
      <c r="D150" s="241">
        <v>3</v>
      </c>
      <c r="E150" s="242"/>
      <c r="F150" s="170">
        <v>4</v>
      </c>
      <c r="G150" s="170">
        <v>5</v>
      </c>
      <c r="H150" s="170">
        <v>6</v>
      </c>
      <c r="I150" s="170">
        <v>7</v>
      </c>
      <c r="J150" s="243">
        <v>8</v>
      </c>
      <c r="K150" s="243"/>
      <c r="L150" s="243">
        <v>9</v>
      </c>
      <c r="M150" s="243"/>
      <c r="N150" s="170">
        <v>10</v>
      </c>
      <c r="O150" s="170">
        <v>11</v>
      </c>
      <c r="P150" s="170">
        <v>12</v>
      </c>
      <c r="Q150" s="177"/>
      <c r="R150" s="177"/>
    </row>
    <row r="151" spans="2:18" ht="24" customHeight="1">
      <c r="B151" s="167">
        <v>247</v>
      </c>
      <c r="C151" s="167" t="s">
        <v>199</v>
      </c>
      <c r="D151" s="237" t="s">
        <v>259</v>
      </c>
      <c r="E151" s="238"/>
      <c r="F151" s="167">
        <v>67490</v>
      </c>
      <c r="G151" s="167">
        <f>ROUND((I151/F151/1.038),2)</f>
        <v>9.39</v>
      </c>
      <c r="H151" s="167">
        <v>3.8</v>
      </c>
      <c r="I151" s="69">
        <v>658128.97</v>
      </c>
      <c r="J151" s="231" t="s">
        <v>9</v>
      </c>
      <c r="K151" s="231"/>
      <c r="L151" s="231" t="s">
        <v>9</v>
      </c>
      <c r="M151" s="231"/>
      <c r="N151" s="167" t="s">
        <v>9</v>
      </c>
      <c r="O151" s="167" t="s">
        <v>9</v>
      </c>
      <c r="P151" s="167" t="s">
        <v>9</v>
      </c>
      <c r="Q151" s="141"/>
      <c r="R151" s="141"/>
    </row>
    <row r="152" spans="2:18" ht="33" customHeight="1">
      <c r="B152" s="167">
        <v>247</v>
      </c>
      <c r="C152" s="167" t="s">
        <v>177</v>
      </c>
      <c r="D152" s="237" t="s">
        <v>260</v>
      </c>
      <c r="E152" s="238"/>
      <c r="F152" s="167">
        <v>447.04599999999999</v>
      </c>
      <c r="G152" s="167">
        <f t="shared" ref="G152:G155" si="6">ROUND((I152/F152/1.038),2)</f>
        <v>2251.17</v>
      </c>
      <c r="H152" s="167">
        <v>3.8</v>
      </c>
      <c r="I152" s="69">
        <v>1044616.61</v>
      </c>
      <c r="J152" s="231" t="s">
        <v>9</v>
      </c>
      <c r="K152" s="231"/>
      <c r="L152" s="231" t="s">
        <v>9</v>
      </c>
      <c r="M152" s="231"/>
      <c r="N152" s="167" t="s">
        <v>9</v>
      </c>
      <c r="O152" s="167" t="s">
        <v>9</v>
      </c>
      <c r="P152" s="167" t="s">
        <v>9</v>
      </c>
      <c r="Q152" s="141"/>
      <c r="R152" s="141"/>
    </row>
    <row r="153" spans="2:18" ht="21" customHeight="1">
      <c r="B153" s="167">
        <v>244</v>
      </c>
      <c r="C153" s="167" t="s">
        <v>182</v>
      </c>
      <c r="D153" s="237" t="s">
        <v>372</v>
      </c>
      <c r="E153" s="238"/>
      <c r="F153" s="167">
        <v>1902</v>
      </c>
      <c r="G153" s="167">
        <f t="shared" si="6"/>
        <v>39.67</v>
      </c>
      <c r="H153" s="167">
        <v>3.8</v>
      </c>
      <c r="I153" s="69">
        <v>78312.240000000005</v>
      </c>
      <c r="J153" s="231" t="s">
        <v>9</v>
      </c>
      <c r="K153" s="231"/>
      <c r="L153" s="231" t="s">
        <v>9</v>
      </c>
      <c r="M153" s="231"/>
      <c r="N153" s="167" t="s">
        <v>9</v>
      </c>
      <c r="O153" s="167" t="s">
        <v>9</v>
      </c>
      <c r="P153" s="167" t="s">
        <v>9</v>
      </c>
      <c r="Q153" s="141"/>
      <c r="R153" s="141"/>
    </row>
    <row r="154" spans="2:18" ht="69.75" customHeight="1">
      <c r="B154" s="167">
        <v>244</v>
      </c>
      <c r="C154" s="167">
        <v>4</v>
      </c>
      <c r="D154" s="237" t="s">
        <v>271</v>
      </c>
      <c r="E154" s="238"/>
      <c r="F154" s="167">
        <v>1922</v>
      </c>
      <c r="G154" s="167">
        <f t="shared" si="6"/>
        <v>60.48</v>
      </c>
      <c r="H154" s="167">
        <v>3.8</v>
      </c>
      <c r="I154" s="167">
        <v>120651.24</v>
      </c>
      <c r="J154" s="231" t="s">
        <v>9</v>
      </c>
      <c r="K154" s="231"/>
      <c r="L154" s="231" t="s">
        <v>9</v>
      </c>
      <c r="M154" s="231"/>
      <c r="N154" s="167" t="s">
        <v>9</v>
      </c>
      <c r="O154" s="167" t="s">
        <v>9</v>
      </c>
      <c r="P154" s="167" t="s">
        <v>9</v>
      </c>
      <c r="Q154" s="141"/>
      <c r="R154" s="141"/>
    </row>
    <row r="155" spans="2:18" ht="19.5" customHeight="1">
      <c r="B155" s="167">
        <v>244</v>
      </c>
      <c r="C155" s="167">
        <v>5</v>
      </c>
      <c r="D155" s="237" t="s">
        <v>261</v>
      </c>
      <c r="E155" s="238"/>
      <c r="F155" s="69">
        <v>29.66</v>
      </c>
      <c r="G155" s="167">
        <f t="shared" si="6"/>
        <v>945.07</v>
      </c>
      <c r="H155" s="167">
        <v>3.8</v>
      </c>
      <c r="I155" s="69">
        <v>29096.01</v>
      </c>
      <c r="J155" s="231" t="s">
        <v>9</v>
      </c>
      <c r="K155" s="231"/>
      <c r="L155" s="231" t="s">
        <v>9</v>
      </c>
      <c r="M155" s="231"/>
      <c r="N155" s="167" t="s">
        <v>9</v>
      </c>
      <c r="O155" s="167" t="s">
        <v>9</v>
      </c>
      <c r="P155" s="167" t="s">
        <v>9</v>
      </c>
      <c r="Q155" s="81" t="s">
        <v>300</v>
      </c>
      <c r="R155" s="81"/>
    </row>
    <row r="156" spans="2:18" ht="15.75">
      <c r="B156" s="145"/>
      <c r="C156" s="233" t="s">
        <v>23</v>
      </c>
      <c r="D156" s="234"/>
      <c r="E156" s="235"/>
      <c r="F156" s="183" t="s">
        <v>9</v>
      </c>
      <c r="G156" s="183" t="s">
        <v>9</v>
      </c>
      <c r="H156" s="183" t="s">
        <v>9</v>
      </c>
      <c r="I156" s="150">
        <f>SUM(I151:I155)</f>
        <v>1930805.07</v>
      </c>
      <c r="J156" s="274">
        <f>I156</f>
        <v>1930805.07</v>
      </c>
      <c r="K156" s="274"/>
      <c r="L156" s="244">
        <v>0</v>
      </c>
      <c r="M156" s="244"/>
      <c r="N156" s="186">
        <v>0</v>
      </c>
      <c r="O156" s="186">
        <v>0</v>
      </c>
      <c r="P156" s="186">
        <v>0</v>
      </c>
      <c r="Q156" s="137"/>
      <c r="R156" s="137"/>
    </row>
    <row r="157" spans="2:18" ht="15.75" customHeight="1"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117"/>
      <c r="R157" s="117"/>
    </row>
    <row r="158" spans="2:18" ht="23.25" customHeight="1">
      <c r="B158" s="74"/>
      <c r="C158" s="269" t="s">
        <v>289</v>
      </c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74"/>
      <c r="O158" s="74"/>
      <c r="P158" s="74"/>
    </row>
    <row r="159" spans="2:18" ht="15.75"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</row>
    <row r="160" spans="2:18" ht="31.5" customHeight="1">
      <c r="B160" s="243" t="s">
        <v>191</v>
      </c>
      <c r="C160" s="243" t="s">
        <v>2</v>
      </c>
      <c r="D160" s="243" t="s">
        <v>24</v>
      </c>
      <c r="E160" s="243" t="s">
        <v>232</v>
      </c>
      <c r="F160" s="243" t="s">
        <v>233</v>
      </c>
      <c r="G160" s="170" t="s">
        <v>234</v>
      </c>
      <c r="H160" s="243" t="s">
        <v>193</v>
      </c>
      <c r="I160" s="243"/>
      <c r="J160" s="243"/>
      <c r="K160" s="243"/>
      <c r="L160" s="243"/>
      <c r="M160" s="243"/>
      <c r="N160" s="243"/>
      <c r="O160" s="137"/>
      <c r="P160" s="137"/>
    </row>
    <row r="161" spans="2:20" ht="85.5" customHeight="1">
      <c r="B161" s="243"/>
      <c r="C161" s="243"/>
      <c r="D161" s="243"/>
      <c r="E161" s="243"/>
      <c r="F161" s="243"/>
      <c r="G161" s="246" t="s">
        <v>239</v>
      </c>
      <c r="H161" s="243" t="s">
        <v>194</v>
      </c>
      <c r="I161" s="243"/>
      <c r="J161" s="258" t="s">
        <v>195</v>
      </c>
      <c r="K161" s="258"/>
      <c r="L161" s="259" t="s">
        <v>196</v>
      </c>
      <c r="M161" s="259" t="s">
        <v>197</v>
      </c>
      <c r="N161" s="259"/>
      <c r="O161" s="137"/>
      <c r="P161" s="177"/>
    </row>
    <row r="162" spans="2:20" ht="35.25" customHeight="1">
      <c r="B162" s="243"/>
      <c r="C162" s="243"/>
      <c r="D162" s="243"/>
      <c r="E162" s="243"/>
      <c r="F162" s="243"/>
      <c r="G162" s="247"/>
      <c r="H162" s="243"/>
      <c r="I162" s="243"/>
      <c r="J162" s="258"/>
      <c r="K162" s="258"/>
      <c r="L162" s="259"/>
      <c r="M162" s="169" t="s">
        <v>14</v>
      </c>
      <c r="N162" s="169" t="s">
        <v>198</v>
      </c>
      <c r="O162" s="177"/>
      <c r="P162" s="177"/>
    </row>
    <row r="163" spans="2:20" ht="15.75">
      <c r="B163" s="170">
        <v>1</v>
      </c>
      <c r="C163" s="170">
        <v>2</v>
      </c>
      <c r="D163" s="170">
        <v>3</v>
      </c>
      <c r="E163" s="170">
        <v>4</v>
      </c>
      <c r="F163" s="170">
        <v>5</v>
      </c>
      <c r="G163" s="170">
        <v>6</v>
      </c>
      <c r="H163" s="243">
        <v>7</v>
      </c>
      <c r="I163" s="243"/>
      <c r="J163" s="243">
        <v>8</v>
      </c>
      <c r="K163" s="243"/>
      <c r="L163" s="170">
        <v>9</v>
      </c>
      <c r="M163" s="170">
        <v>10</v>
      </c>
      <c r="N163" s="170">
        <v>11</v>
      </c>
      <c r="O163" s="177"/>
      <c r="P163" s="177"/>
    </row>
    <row r="164" spans="2:20" ht="44.25" customHeight="1">
      <c r="B164" s="167">
        <v>244</v>
      </c>
      <c r="C164" s="167">
        <v>1</v>
      </c>
      <c r="D164" s="147" t="s">
        <v>362</v>
      </c>
      <c r="E164" s="167">
        <v>1</v>
      </c>
      <c r="F164" s="192">
        <f>9491+4273.8-3311+34159.97+800+1617.96-1581.84-1581.84-11096.85-1871.2-3628.8</f>
        <v>27271.200000000012</v>
      </c>
      <c r="G164" s="192">
        <f>E164*F164</f>
        <v>27271.200000000012</v>
      </c>
      <c r="H164" s="231" t="s">
        <v>9</v>
      </c>
      <c r="I164" s="231"/>
      <c r="J164" s="231" t="s">
        <v>9</v>
      </c>
      <c r="K164" s="231"/>
      <c r="L164" s="167" t="s">
        <v>9</v>
      </c>
      <c r="M164" s="167" t="s">
        <v>9</v>
      </c>
      <c r="N164" s="167" t="s">
        <v>9</v>
      </c>
      <c r="O164" s="141"/>
      <c r="P164" s="141"/>
      <c r="Q164" s="81" t="s">
        <v>301</v>
      </c>
      <c r="R164" s="81"/>
      <c r="S164" s="89" t="s">
        <v>297</v>
      </c>
      <c r="T164" s="165">
        <v>155718.39999999999</v>
      </c>
    </row>
    <row r="165" spans="2:20" ht="38.450000000000003" customHeight="1">
      <c r="B165" s="167">
        <v>244</v>
      </c>
      <c r="C165" s="167">
        <v>2</v>
      </c>
      <c r="D165" s="147" t="s">
        <v>381</v>
      </c>
      <c r="E165" s="167">
        <v>1</v>
      </c>
      <c r="F165" s="167">
        <v>1000</v>
      </c>
      <c r="G165" s="192">
        <f t="shared" ref="G165:G182" si="7">E165*F165</f>
        <v>1000</v>
      </c>
      <c r="H165" s="231" t="s">
        <v>9</v>
      </c>
      <c r="I165" s="231"/>
      <c r="J165" s="231" t="s">
        <v>9</v>
      </c>
      <c r="K165" s="231"/>
      <c r="L165" s="167" t="s">
        <v>9</v>
      </c>
      <c r="M165" s="167" t="s">
        <v>9</v>
      </c>
      <c r="N165" s="167" t="s">
        <v>9</v>
      </c>
      <c r="O165" s="141"/>
      <c r="P165" s="141"/>
      <c r="S165" s="89" t="s">
        <v>292</v>
      </c>
      <c r="T165" s="88">
        <v>0</v>
      </c>
    </row>
    <row r="166" spans="2:20" ht="22.5" customHeight="1">
      <c r="B166" s="167">
        <v>244</v>
      </c>
      <c r="C166" s="167">
        <v>3</v>
      </c>
      <c r="D166" s="147" t="s">
        <v>424</v>
      </c>
      <c r="E166" s="167">
        <v>1</v>
      </c>
      <c r="F166" s="167">
        <v>345516.74</v>
      </c>
      <c r="G166" s="192">
        <f t="shared" si="7"/>
        <v>345516.74</v>
      </c>
      <c r="H166" s="229" t="s">
        <v>9</v>
      </c>
      <c r="I166" s="230"/>
      <c r="J166" s="229" t="s">
        <v>9</v>
      </c>
      <c r="K166" s="230"/>
      <c r="L166" s="167" t="s">
        <v>9</v>
      </c>
      <c r="M166" s="167" t="s">
        <v>9</v>
      </c>
      <c r="N166" s="167" t="s">
        <v>9</v>
      </c>
      <c r="O166" s="141"/>
      <c r="P166" s="141"/>
      <c r="S166" s="89" t="s">
        <v>305</v>
      </c>
      <c r="T166" s="88">
        <v>381438.98</v>
      </c>
    </row>
    <row r="167" spans="2:20" ht="51.6" customHeight="1">
      <c r="B167" s="167">
        <v>244</v>
      </c>
      <c r="C167" s="167">
        <v>3</v>
      </c>
      <c r="D167" s="147" t="s">
        <v>401</v>
      </c>
      <c r="E167" s="167">
        <v>1</v>
      </c>
      <c r="F167" s="167">
        <f>4324.8+378.52-378.52-378.52-378.52</f>
        <v>3567.7599999999993</v>
      </c>
      <c r="G167" s="192">
        <f t="shared" si="7"/>
        <v>3567.7599999999993</v>
      </c>
      <c r="H167" s="229" t="s">
        <v>9</v>
      </c>
      <c r="I167" s="230"/>
      <c r="J167" s="229" t="s">
        <v>9</v>
      </c>
      <c r="K167" s="230"/>
      <c r="L167" s="167" t="s">
        <v>9</v>
      </c>
      <c r="M167" s="167" t="s">
        <v>9</v>
      </c>
      <c r="N167" s="167" t="s">
        <v>9</v>
      </c>
      <c r="O167" s="141"/>
      <c r="P167" s="141"/>
      <c r="S167" s="89"/>
      <c r="T167" s="83"/>
    </row>
    <row r="168" spans="2:20" ht="15.75" hidden="1" customHeight="1">
      <c r="B168" s="167">
        <v>244</v>
      </c>
      <c r="C168" s="167">
        <v>5</v>
      </c>
      <c r="D168" s="147" t="s">
        <v>382</v>
      </c>
      <c r="E168" s="167">
        <v>1</v>
      </c>
      <c r="F168" s="167"/>
      <c r="G168" s="192">
        <f t="shared" si="7"/>
        <v>0</v>
      </c>
      <c r="H168" s="231" t="s">
        <v>9</v>
      </c>
      <c r="I168" s="231"/>
      <c r="J168" s="231" t="s">
        <v>9</v>
      </c>
      <c r="K168" s="231"/>
      <c r="L168" s="167" t="s">
        <v>9</v>
      </c>
      <c r="M168" s="167" t="s">
        <v>9</v>
      </c>
      <c r="N168" s="167" t="s">
        <v>9</v>
      </c>
      <c r="O168" s="141"/>
      <c r="P168" s="141"/>
      <c r="S168" s="89"/>
      <c r="T168" s="83"/>
    </row>
    <row r="169" spans="2:20" ht="34.5" hidden="1" customHeight="1">
      <c r="B169" s="167">
        <v>244</v>
      </c>
      <c r="C169" s="167">
        <v>4</v>
      </c>
      <c r="D169" s="147" t="s">
        <v>363</v>
      </c>
      <c r="E169" s="167">
        <v>1</v>
      </c>
      <c r="F169" s="167">
        <v>0</v>
      </c>
      <c r="G169" s="192">
        <f t="shared" si="7"/>
        <v>0</v>
      </c>
      <c r="H169" s="229" t="s">
        <v>9</v>
      </c>
      <c r="I169" s="230"/>
      <c r="J169" s="229" t="s">
        <v>9</v>
      </c>
      <c r="K169" s="230"/>
      <c r="L169" s="167" t="s">
        <v>9</v>
      </c>
      <c r="M169" s="167" t="s">
        <v>9</v>
      </c>
      <c r="N169" s="167" t="s">
        <v>9</v>
      </c>
      <c r="O169" s="141"/>
      <c r="P169" s="141"/>
      <c r="S169" s="89"/>
      <c r="T169" s="83"/>
    </row>
    <row r="170" spans="2:20" ht="15.75" hidden="1" customHeight="1">
      <c r="B170" s="167">
        <v>244</v>
      </c>
      <c r="C170" s="167">
        <v>7</v>
      </c>
      <c r="D170" s="147" t="s">
        <v>383</v>
      </c>
      <c r="E170" s="167">
        <v>1</v>
      </c>
      <c r="F170" s="167"/>
      <c r="G170" s="192">
        <f t="shared" si="7"/>
        <v>0</v>
      </c>
      <c r="H170" s="229" t="s">
        <v>9</v>
      </c>
      <c r="I170" s="230"/>
      <c r="J170" s="229" t="s">
        <v>9</v>
      </c>
      <c r="K170" s="230"/>
      <c r="L170" s="167" t="s">
        <v>9</v>
      </c>
      <c r="M170" s="167" t="s">
        <v>9</v>
      </c>
      <c r="N170" s="167" t="s">
        <v>9</v>
      </c>
      <c r="O170" s="141"/>
      <c r="P170" s="141"/>
      <c r="S170" s="89"/>
      <c r="T170" s="83"/>
    </row>
    <row r="171" spans="2:20" ht="53.25" hidden="1" customHeight="1">
      <c r="B171" s="167">
        <v>244</v>
      </c>
      <c r="C171" s="167">
        <v>8</v>
      </c>
      <c r="D171" s="147" t="s">
        <v>384</v>
      </c>
      <c r="E171" s="167">
        <v>1</v>
      </c>
      <c r="F171" s="167"/>
      <c r="G171" s="192">
        <f t="shared" si="7"/>
        <v>0</v>
      </c>
      <c r="H171" s="229" t="s">
        <v>9</v>
      </c>
      <c r="I171" s="230"/>
      <c r="J171" s="229" t="s">
        <v>9</v>
      </c>
      <c r="K171" s="230"/>
      <c r="L171" s="167" t="s">
        <v>9</v>
      </c>
      <c r="M171" s="167" t="s">
        <v>9</v>
      </c>
      <c r="N171" s="167" t="s">
        <v>9</v>
      </c>
      <c r="O171" s="141"/>
      <c r="P171" s="141"/>
      <c r="S171" s="89"/>
      <c r="T171" s="83"/>
    </row>
    <row r="172" spans="2:20" ht="36" hidden="1" customHeight="1">
      <c r="B172" s="167">
        <v>244</v>
      </c>
      <c r="C172" s="167">
        <v>9</v>
      </c>
      <c r="D172" s="147" t="s">
        <v>369</v>
      </c>
      <c r="E172" s="167">
        <v>1</v>
      </c>
      <c r="F172" s="167"/>
      <c r="G172" s="192">
        <f>F172</f>
        <v>0</v>
      </c>
      <c r="H172" s="229" t="s">
        <v>9</v>
      </c>
      <c r="I172" s="230"/>
      <c r="J172" s="229" t="s">
        <v>9</v>
      </c>
      <c r="K172" s="230"/>
      <c r="L172" s="167" t="s">
        <v>9</v>
      </c>
      <c r="M172" s="167" t="s">
        <v>9</v>
      </c>
      <c r="N172" s="167" t="s">
        <v>9</v>
      </c>
      <c r="O172" s="141"/>
      <c r="P172" s="141"/>
      <c r="S172" s="89"/>
      <c r="T172" s="83"/>
    </row>
    <row r="173" spans="2:20" ht="51.6" customHeight="1">
      <c r="B173" s="167">
        <v>244</v>
      </c>
      <c r="C173" s="167">
        <v>5</v>
      </c>
      <c r="D173" s="147" t="s">
        <v>413</v>
      </c>
      <c r="E173" s="167">
        <v>1</v>
      </c>
      <c r="F173" s="167">
        <f>7854+133301.28-3000</f>
        <v>138155.28</v>
      </c>
      <c r="G173" s="192">
        <f t="shared" si="7"/>
        <v>138155.28</v>
      </c>
      <c r="H173" s="229" t="s">
        <v>9</v>
      </c>
      <c r="I173" s="230"/>
      <c r="J173" s="229" t="s">
        <v>9</v>
      </c>
      <c r="K173" s="230"/>
      <c r="L173" s="167" t="s">
        <v>9</v>
      </c>
      <c r="M173" s="167" t="s">
        <v>9</v>
      </c>
      <c r="N173" s="167" t="s">
        <v>9</v>
      </c>
      <c r="O173" s="141"/>
      <c r="P173" s="141"/>
      <c r="S173" s="89"/>
      <c r="T173" s="83"/>
    </row>
    <row r="174" spans="2:20" ht="28.5" hidden="1" customHeight="1">
      <c r="B174" s="167">
        <v>244</v>
      </c>
      <c r="C174" s="167">
        <v>6</v>
      </c>
      <c r="D174" s="147" t="s">
        <v>373</v>
      </c>
      <c r="E174" s="167">
        <v>1</v>
      </c>
      <c r="F174" s="167">
        <v>0</v>
      </c>
      <c r="G174" s="192">
        <f t="shared" si="7"/>
        <v>0</v>
      </c>
      <c r="H174" s="231" t="s">
        <v>9</v>
      </c>
      <c r="I174" s="231"/>
      <c r="J174" s="231" t="s">
        <v>9</v>
      </c>
      <c r="K174" s="231"/>
      <c r="L174" s="167" t="s">
        <v>9</v>
      </c>
      <c r="M174" s="167" t="s">
        <v>9</v>
      </c>
      <c r="N174" s="167" t="s">
        <v>9</v>
      </c>
      <c r="O174" s="141"/>
      <c r="P174" s="141"/>
      <c r="S174" s="89"/>
      <c r="T174" s="83"/>
    </row>
    <row r="175" spans="2:20" ht="0.6" customHeight="1">
      <c r="B175" s="167">
        <v>244</v>
      </c>
      <c r="C175" s="167">
        <v>10</v>
      </c>
      <c r="D175" s="147" t="s">
        <v>361</v>
      </c>
      <c r="E175" s="167">
        <v>1</v>
      </c>
      <c r="F175" s="167"/>
      <c r="G175" s="192">
        <f t="shared" si="7"/>
        <v>0</v>
      </c>
      <c r="H175" s="229" t="s">
        <v>9</v>
      </c>
      <c r="I175" s="230"/>
      <c r="J175" s="229" t="s">
        <v>9</v>
      </c>
      <c r="K175" s="230"/>
      <c r="L175" s="167" t="s">
        <v>9</v>
      </c>
      <c r="M175" s="167" t="s">
        <v>9</v>
      </c>
      <c r="N175" s="167" t="s">
        <v>9</v>
      </c>
      <c r="O175" s="141"/>
      <c r="P175" s="141"/>
      <c r="S175" s="89"/>
      <c r="T175" s="83"/>
    </row>
    <row r="176" spans="2:20" ht="189.75" customHeight="1">
      <c r="B176" s="167">
        <v>244</v>
      </c>
      <c r="C176" s="167">
        <v>7</v>
      </c>
      <c r="D176" s="147" t="s">
        <v>412</v>
      </c>
      <c r="E176" s="167">
        <v>1</v>
      </c>
      <c r="F176" s="192">
        <f>30900+2575-2575-1528.6-2575-2575-2575</f>
        <v>21646.400000000001</v>
      </c>
      <c r="G176" s="192">
        <f t="shared" ref="G176:G181" si="8">E176*F176</f>
        <v>21646.400000000001</v>
      </c>
      <c r="H176" s="231" t="s">
        <v>9</v>
      </c>
      <c r="I176" s="231"/>
      <c r="J176" s="231" t="s">
        <v>9</v>
      </c>
      <c r="K176" s="231"/>
      <c r="L176" s="167" t="s">
        <v>9</v>
      </c>
      <c r="M176" s="167" t="s">
        <v>9</v>
      </c>
      <c r="N176" s="167" t="s">
        <v>9</v>
      </c>
      <c r="O176" s="141"/>
      <c r="P176" s="141"/>
      <c r="S176" s="89" t="s">
        <v>7</v>
      </c>
      <c r="T176" s="88">
        <f>SUM(T164:T166)</f>
        <v>537157.38</v>
      </c>
    </row>
    <row r="177" spans="2:20" ht="36" hidden="1" customHeight="1">
      <c r="B177" s="167">
        <v>244</v>
      </c>
      <c r="C177" s="167">
        <v>11</v>
      </c>
      <c r="D177" s="147" t="s">
        <v>389</v>
      </c>
      <c r="E177" s="167">
        <v>1</v>
      </c>
      <c r="F177" s="192"/>
      <c r="G177" s="192">
        <f t="shared" si="8"/>
        <v>0</v>
      </c>
      <c r="H177" s="231" t="s">
        <v>9</v>
      </c>
      <c r="I177" s="231"/>
      <c r="J177" s="231" t="s">
        <v>9</v>
      </c>
      <c r="K177" s="231"/>
      <c r="L177" s="167" t="s">
        <v>9</v>
      </c>
      <c r="M177" s="167" t="s">
        <v>9</v>
      </c>
      <c r="N177" s="167" t="s">
        <v>9</v>
      </c>
      <c r="O177" s="141"/>
      <c r="P177" s="141"/>
      <c r="S177" s="89"/>
      <c r="T177" s="88"/>
    </row>
    <row r="178" spans="2:20" ht="36" hidden="1" customHeight="1">
      <c r="B178" s="167">
        <v>244</v>
      </c>
      <c r="C178" s="167">
        <v>12</v>
      </c>
      <c r="D178" s="147" t="s">
        <v>391</v>
      </c>
      <c r="E178" s="167">
        <v>1</v>
      </c>
      <c r="F178" s="192"/>
      <c r="G178" s="192">
        <f t="shared" si="8"/>
        <v>0</v>
      </c>
      <c r="H178" s="231" t="s">
        <v>9</v>
      </c>
      <c r="I178" s="231"/>
      <c r="J178" s="231" t="s">
        <v>9</v>
      </c>
      <c r="K178" s="231"/>
      <c r="L178" s="167" t="s">
        <v>9</v>
      </c>
      <c r="M178" s="167" t="s">
        <v>9</v>
      </c>
      <c r="N178" s="167" t="s">
        <v>9</v>
      </c>
      <c r="O178" s="141"/>
      <c r="P178" s="141"/>
      <c r="S178" s="89"/>
      <c r="T178" s="88"/>
    </row>
    <row r="179" spans="2:20" ht="36" hidden="1" customHeight="1">
      <c r="B179" s="167">
        <v>244</v>
      </c>
      <c r="C179" s="167">
        <v>13</v>
      </c>
      <c r="D179" s="147" t="s">
        <v>392</v>
      </c>
      <c r="E179" s="167">
        <v>1</v>
      </c>
      <c r="F179" s="192"/>
      <c r="G179" s="192">
        <f t="shared" si="8"/>
        <v>0</v>
      </c>
      <c r="H179" s="231" t="s">
        <v>9</v>
      </c>
      <c r="I179" s="231"/>
      <c r="J179" s="231" t="s">
        <v>9</v>
      </c>
      <c r="K179" s="231"/>
      <c r="L179" s="167" t="s">
        <v>9</v>
      </c>
      <c r="M179" s="167" t="s">
        <v>9</v>
      </c>
      <c r="N179" s="167" t="s">
        <v>9</v>
      </c>
      <c r="O179" s="141"/>
      <c r="P179" s="141"/>
      <c r="S179" s="89"/>
      <c r="T179" s="88"/>
    </row>
    <row r="180" spans="2:20" ht="90" hidden="1" customHeight="1">
      <c r="B180" s="167">
        <v>244</v>
      </c>
      <c r="C180" s="167">
        <v>14</v>
      </c>
      <c r="D180" s="147"/>
      <c r="E180" s="167">
        <v>1</v>
      </c>
      <c r="F180" s="192"/>
      <c r="G180" s="192">
        <f t="shared" si="8"/>
        <v>0</v>
      </c>
      <c r="H180" s="231" t="s">
        <v>9</v>
      </c>
      <c r="I180" s="231"/>
      <c r="J180" s="231" t="s">
        <v>9</v>
      </c>
      <c r="K180" s="231"/>
      <c r="L180" s="167" t="s">
        <v>9</v>
      </c>
      <c r="M180" s="167" t="s">
        <v>9</v>
      </c>
      <c r="N180" s="167" t="s">
        <v>9</v>
      </c>
      <c r="O180" s="141"/>
      <c r="P180" s="141"/>
      <c r="T180" s="72" t="b">
        <f>G183=T176</f>
        <v>1</v>
      </c>
    </row>
    <row r="181" spans="2:20" ht="37.5" hidden="1" customHeight="1">
      <c r="B181" s="167">
        <v>244</v>
      </c>
      <c r="C181" s="167">
        <v>4</v>
      </c>
      <c r="D181" s="147" t="s">
        <v>273</v>
      </c>
      <c r="E181" s="167">
        <v>1</v>
      </c>
      <c r="F181" s="167"/>
      <c r="G181" s="192">
        <f t="shared" si="8"/>
        <v>0</v>
      </c>
      <c r="H181" s="231" t="s">
        <v>9</v>
      </c>
      <c r="I181" s="231"/>
      <c r="J181" s="231" t="s">
        <v>9</v>
      </c>
      <c r="K181" s="231"/>
      <c r="L181" s="167" t="s">
        <v>9</v>
      </c>
      <c r="M181" s="167" t="s">
        <v>9</v>
      </c>
      <c r="N181" s="167" t="s">
        <v>9</v>
      </c>
      <c r="O181" s="141"/>
      <c r="P181" s="141"/>
    </row>
    <row r="182" spans="2:20" ht="83.25" hidden="1" customHeight="1" outlineLevel="1">
      <c r="B182" s="167"/>
      <c r="C182" s="167"/>
      <c r="D182" s="147"/>
      <c r="E182" s="167">
        <v>1</v>
      </c>
      <c r="F182" s="167"/>
      <c r="G182" s="192">
        <f t="shared" si="7"/>
        <v>0</v>
      </c>
      <c r="H182" s="231" t="s">
        <v>9</v>
      </c>
      <c r="I182" s="231"/>
      <c r="J182" s="231" t="s">
        <v>9</v>
      </c>
      <c r="K182" s="231"/>
      <c r="L182" s="167" t="s">
        <v>9</v>
      </c>
      <c r="M182" s="167" t="s">
        <v>9</v>
      </c>
      <c r="N182" s="167" t="s">
        <v>9</v>
      </c>
      <c r="O182" s="141"/>
      <c r="P182" s="141"/>
    </row>
    <row r="183" spans="2:20" ht="15.75" customHeight="1" collapsed="1">
      <c r="B183" s="167"/>
      <c r="C183" s="233" t="s">
        <v>23</v>
      </c>
      <c r="D183" s="235"/>
      <c r="E183" s="183" t="s">
        <v>9</v>
      </c>
      <c r="F183" s="183" t="s">
        <v>9</v>
      </c>
      <c r="G183" s="150">
        <f>SUM(G164:G182)</f>
        <v>537157.38</v>
      </c>
      <c r="H183" s="244">
        <f>T164</f>
        <v>155718.39999999999</v>
      </c>
      <c r="I183" s="245"/>
      <c r="J183" s="244">
        <f>T166</f>
        <v>381438.98</v>
      </c>
      <c r="K183" s="244"/>
      <c r="L183" s="186">
        <v>0</v>
      </c>
      <c r="M183" s="186">
        <f>T165</f>
        <v>0</v>
      </c>
      <c r="N183" s="190">
        <v>0</v>
      </c>
      <c r="O183" s="137"/>
      <c r="P183" s="137"/>
      <c r="Q183" s="68">
        <f>SUM(H183:M183)</f>
        <v>537157.38</v>
      </c>
      <c r="R183" s="68">
        <f>G183-Q183</f>
        <v>0</v>
      </c>
    </row>
    <row r="184" spans="2:20" ht="15.75">
      <c r="B184" s="149"/>
      <c r="C184" s="74"/>
      <c r="D184" s="74"/>
      <c r="E184" s="74"/>
      <c r="F184" s="104"/>
      <c r="G184" s="104"/>
      <c r="H184" s="74"/>
      <c r="I184" s="74"/>
      <c r="J184" s="74"/>
      <c r="K184" s="74"/>
      <c r="L184" s="74"/>
      <c r="M184" s="74"/>
      <c r="N184" s="153"/>
      <c r="O184" s="153"/>
      <c r="P184" s="153"/>
      <c r="Q184" s="72" t="b">
        <f>G183=Q183</f>
        <v>1</v>
      </c>
    </row>
    <row r="185" spans="2:20" ht="25.5" customHeight="1">
      <c r="B185" s="74"/>
      <c r="C185" s="269" t="s">
        <v>290</v>
      </c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74"/>
      <c r="O185" s="74"/>
      <c r="P185" s="74"/>
    </row>
    <row r="186" spans="2:20" ht="15.75"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</row>
    <row r="187" spans="2:20" ht="31.5" customHeight="1">
      <c r="B187" s="243" t="s">
        <v>191</v>
      </c>
      <c r="C187" s="243" t="s">
        <v>2</v>
      </c>
      <c r="D187" s="243" t="s">
        <v>24</v>
      </c>
      <c r="E187" s="243" t="s">
        <v>235</v>
      </c>
      <c r="F187" s="243" t="s">
        <v>236</v>
      </c>
      <c r="G187" s="170" t="s">
        <v>234</v>
      </c>
      <c r="H187" s="243" t="s">
        <v>193</v>
      </c>
      <c r="I187" s="243"/>
      <c r="J187" s="243"/>
      <c r="K187" s="243"/>
      <c r="L187" s="243"/>
      <c r="M187" s="243"/>
      <c r="N187" s="243"/>
      <c r="O187" s="137"/>
      <c r="P187" s="137"/>
    </row>
    <row r="188" spans="2:20" ht="100.5" customHeight="1">
      <c r="B188" s="243"/>
      <c r="C188" s="243"/>
      <c r="D188" s="243"/>
      <c r="E188" s="243"/>
      <c r="F188" s="243"/>
      <c r="G188" s="246" t="s">
        <v>239</v>
      </c>
      <c r="H188" s="243" t="s">
        <v>194</v>
      </c>
      <c r="I188" s="243"/>
      <c r="J188" s="258" t="s">
        <v>195</v>
      </c>
      <c r="K188" s="258"/>
      <c r="L188" s="259" t="s">
        <v>196</v>
      </c>
      <c r="M188" s="259" t="s">
        <v>197</v>
      </c>
      <c r="N188" s="259"/>
      <c r="O188" s="137"/>
      <c r="P188" s="177"/>
    </row>
    <row r="189" spans="2:20" ht="15.75" customHeight="1">
      <c r="B189" s="243"/>
      <c r="C189" s="243"/>
      <c r="D189" s="243"/>
      <c r="E189" s="243"/>
      <c r="F189" s="243"/>
      <c r="G189" s="247"/>
      <c r="H189" s="243"/>
      <c r="I189" s="243"/>
      <c r="J189" s="258"/>
      <c r="K189" s="258"/>
      <c r="L189" s="259"/>
      <c r="M189" s="169" t="s">
        <v>14</v>
      </c>
      <c r="N189" s="169" t="s">
        <v>198</v>
      </c>
      <c r="O189" s="177"/>
      <c r="P189" s="177"/>
    </row>
    <row r="190" spans="2:20" ht="15.75">
      <c r="B190" s="170">
        <v>1</v>
      </c>
      <c r="C190" s="170">
        <v>2</v>
      </c>
      <c r="D190" s="170">
        <v>3</v>
      </c>
      <c r="E190" s="170">
        <v>4</v>
      </c>
      <c r="F190" s="170">
        <v>5</v>
      </c>
      <c r="G190" s="170">
        <v>6</v>
      </c>
      <c r="H190" s="243">
        <v>7</v>
      </c>
      <c r="I190" s="243"/>
      <c r="J190" s="243">
        <v>8</v>
      </c>
      <c r="K190" s="243"/>
      <c r="L190" s="170">
        <v>9</v>
      </c>
      <c r="M190" s="170">
        <v>10</v>
      </c>
      <c r="N190" s="170">
        <v>11</v>
      </c>
      <c r="O190" s="177"/>
      <c r="P190" s="177"/>
    </row>
    <row r="191" spans="2:20" ht="31.5">
      <c r="B191" s="167">
        <v>244</v>
      </c>
      <c r="C191" s="167">
        <v>1</v>
      </c>
      <c r="D191" s="154" t="s">
        <v>274</v>
      </c>
      <c r="E191" s="167">
        <v>1</v>
      </c>
      <c r="F191" s="192">
        <f>4550+2000+700-700-700</f>
        <v>5850</v>
      </c>
      <c r="G191" s="192">
        <f>E191*F191</f>
        <v>5850</v>
      </c>
      <c r="H191" s="231" t="s">
        <v>9</v>
      </c>
      <c r="I191" s="231"/>
      <c r="J191" s="231" t="s">
        <v>9</v>
      </c>
      <c r="K191" s="231"/>
      <c r="L191" s="167" t="s">
        <v>9</v>
      </c>
      <c r="M191" s="167" t="s">
        <v>9</v>
      </c>
      <c r="N191" s="167" t="s">
        <v>9</v>
      </c>
      <c r="O191" s="141"/>
      <c r="P191" s="141"/>
      <c r="Q191" s="81" t="s">
        <v>302</v>
      </c>
      <c r="R191" s="81"/>
      <c r="S191" s="89" t="s">
        <v>297</v>
      </c>
      <c r="T191" s="82">
        <v>88217.95</v>
      </c>
    </row>
    <row r="192" spans="2:20" ht="15.75">
      <c r="B192" s="167">
        <v>244</v>
      </c>
      <c r="C192" s="167">
        <v>2</v>
      </c>
      <c r="D192" s="154" t="s">
        <v>313</v>
      </c>
      <c r="E192" s="167">
        <v>1</v>
      </c>
      <c r="F192" s="192">
        <f>6000+1277.99-886.62</f>
        <v>6391.37</v>
      </c>
      <c r="G192" s="192">
        <f>E192*F192</f>
        <v>6391.37</v>
      </c>
      <c r="H192" s="231" t="s">
        <v>9</v>
      </c>
      <c r="I192" s="231"/>
      <c r="J192" s="231" t="s">
        <v>9</v>
      </c>
      <c r="K192" s="231"/>
      <c r="L192" s="167" t="s">
        <v>9</v>
      </c>
      <c r="M192" s="167" t="s">
        <v>9</v>
      </c>
      <c r="N192" s="167" t="s">
        <v>9</v>
      </c>
      <c r="O192" s="141"/>
      <c r="P192" s="141"/>
      <c r="S192" s="89" t="s">
        <v>292</v>
      </c>
      <c r="T192" s="89">
        <v>20589.73</v>
      </c>
    </row>
    <row r="193" spans="2:20" ht="45.6" customHeight="1">
      <c r="B193" s="167">
        <v>244</v>
      </c>
      <c r="C193" s="167">
        <v>3</v>
      </c>
      <c r="D193" s="154" t="s">
        <v>275</v>
      </c>
      <c r="E193" s="167">
        <v>1</v>
      </c>
      <c r="F193" s="192">
        <v>18525</v>
      </c>
      <c r="G193" s="192">
        <f t="shared" ref="G193:G209" si="9">E193*F193</f>
        <v>18525</v>
      </c>
      <c r="H193" s="231" t="s">
        <v>9</v>
      </c>
      <c r="I193" s="231"/>
      <c r="J193" s="231" t="s">
        <v>9</v>
      </c>
      <c r="K193" s="231"/>
      <c r="L193" s="167" t="s">
        <v>9</v>
      </c>
      <c r="M193" s="167" t="s">
        <v>9</v>
      </c>
      <c r="N193" s="167" t="s">
        <v>9</v>
      </c>
      <c r="O193" s="141"/>
      <c r="P193" s="141"/>
      <c r="S193" s="89" t="s">
        <v>305</v>
      </c>
      <c r="T193" s="83">
        <v>261302</v>
      </c>
    </row>
    <row r="194" spans="2:20" ht="99.6" customHeight="1">
      <c r="B194" s="167">
        <v>244</v>
      </c>
      <c r="C194" s="167">
        <v>4</v>
      </c>
      <c r="D194" s="154" t="s">
        <v>276</v>
      </c>
      <c r="E194" s="167">
        <v>1</v>
      </c>
      <c r="F194" s="192">
        <f>13140+993.1</f>
        <v>14133.1</v>
      </c>
      <c r="G194" s="192">
        <f t="shared" si="9"/>
        <v>14133.1</v>
      </c>
      <c r="H194" s="231" t="s">
        <v>9</v>
      </c>
      <c r="I194" s="231"/>
      <c r="J194" s="231" t="s">
        <v>9</v>
      </c>
      <c r="K194" s="231"/>
      <c r="L194" s="167" t="s">
        <v>9</v>
      </c>
      <c r="M194" s="167" t="s">
        <v>9</v>
      </c>
      <c r="N194" s="167" t="s">
        <v>9</v>
      </c>
      <c r="O194" s="141"/>
      <c r="P194" s="141"/>
      <c r="S194" s="89" t="s">
        <v>7</v>
      </c>
      <c r="T194" s="88">
        <f>SUM(T191:T193)</f>
        <v>370109.68</v>
      </c>
    </row>
    <row r="195" spans="2:20" ht="179.45" customHeight="1">
      <c r="B195" s="167">
        <v>244</v>
      </c>
      <c r="C195" s="167">
        <v>5</v>
      </c>
      <c r="D195" s="154" t="s">
        <v>402</v>
      </c>
      <c r="E195" s="167">
        <v>1</v>
      </c>
      <c r="F195" s="192">
        <v>3500</v>
      </c>
      <c r="G195" s="192">
        <f t="shared" si="9"/>
        <v>3500</v>
      </c>
      <c r="H195" s="231" t="s">
        <v>9</v>
      </c>
      <c r="I195" s="231"/>
      <c r="J195" s="231" t="s">
        <v>9</v>
      </c>
      <c r="K195" s="231"/>
      <c r="L195" s="167" t="s">
        <v>9</v>
      </c>
      <c r="M195" s="167" t="s">
        <v>9</v>
      </c>
      <c r="N195" s="167" t="s">
        <v>9</v>
      </c>
      <c r="O195" s="141"/>
      <c r="P195" s="141"/>
      <c r="T195" s="72" t="b">
        <f>G210=T194</f>
        <v>1</v>
      </c>
    </row>
    <row r="196" spans="2:20" ht="15.75">
      <c r="B196" s="167">
        <v>244</v>
      </c>
      <c r="C196" s="167">
        <v>6</v>
      </c>
      <c r="D196" s="154" t="s">
        <v>277</v>
      </c>
      <c r="E196" s="167">
        <v>1</v>
      </c>
      <c r="F196" s="192">
        <f>19091.9-834+1482.75-1482.75-1482.75</f>
        <v>16775.150000000001</v>
      </c>
      <c r="G196" s="192">
        <f t="shared" si="9"/>
        <v>16775.150000000001</v>
      </c>
      <c r="H196" s="231" t="s">
        <v>9</v>
      </c>
      <c r="I196" s="231"/>
      <c r="J196" s="231" t="s">
        <v>9</v>
      </c>
      <c r="K196" s="231"/>
      <c r="L196" s="167" t="s">
        <v>9</v>
      </c>
      <c r="M196" s="167" t="s">
        <v>9</v>
      </c>
      <c r="N196" s="167" t="s">
        <v>9</v>
      </c>
      <c r="O196" s="141"/>
      <c r="P196" s="141"/>
    </row>
    <row r="197" spans="2:20" ht="56.25" customHeight="1">
      <c r="B197" s="167">
        <v>244</v>
      </c>
      <c r="C197" s="167">
        <v>7</v>
      </c>
      <c r="D197" s="154" t="s">
        <v>434</v>
      </c>
      <c r="E197" s="167">
        <v>1</v>
      </c>
      <c r="F197" s="192">
        <f>2100</f>
        <v>2100</v>
      </c>
      <c r="G197" s="192">
        <f t="shared" si="9"/>
        <v>2100</v>
      </c>
      <c r="H197" s="231" t="s">
        <v>9</v>
      </c>
      <c r="I197" s="231"/>
      <c r="J197" s="231" t="s">
        <v>9</v>
      </c>
      <c r="K197" s="231"/>
      <c r="L197" s="167" t="s">
        <v>9</v>
      </c>
      <c r="M197" s="167" t="s">
        <v>9</v>
      </c>
      <c r="N197" s="167" t="s">
        <v>9</v>
      </c>
      <c r="O197" s="141"/>
      <c r="P197" s="141"/>
    </row>
    <row r="198" spans="2:20" ht="131.25" customHeight="1">
      <c r="B198" s="167">
        <v>244</v>
      </c>
      <c r="C198" s="167">
        <v>7</v>
      </c>
      <c r="D198" s="154" t="s">
        <v>414</v>
      </c>
      <c r="E198" s="167">
        <v>1</v>
      </c>
      <c r="F198" s="192">
        <v>20484</v>
      </c>
      <c r="G198" s="192">
        <f t="shared" si="9"/>
        <v>20484</v>
      </c>
      <c r="H198" s="231" t="s">
        <v>9</v>
      </c>
      <c r="I198" s="231"/>
      <c r="J198" s="231" t="s">
        <v>9</v>
      </c>
      <c r="K198" s="231"/>
      <c r="L198" s="167" t="s">
        <v>9</v>
      </c>
      <c r="M198" s="167" t="s">
        <v>9</v>
      </c>
      <c r="N198" s="167" t="s">
        <v>9</v>
      </c>
      <c r="O198" s="141"/>
      <c r="P198" s="141"/>
    </row>
    <row r="199" spans="2:20" ht="132" customHeight="1">
      <c r="B199" s="167">
        <v>244</v>
      </c>
      <c r="C199" s="167">
        <v>8</v>
      </c>
      <c r="D199" s="128" t="s">
        <v>415</v>
      </c>
      <c r="E199" s="167">
        <v>1</v>
      </c>
      <c r="F199" s="192">
        <v>834</v>
      </c>
      <c r="G199" s="192">
        <f>F199</f>
        <v>834</v>
      </c>
      <c r="H199" s="231" t="s">
        <v>9</v>
      </c>
      <c r="I199" s="231"/>
      <c r="J199" s="231" t="s">
        <v>9</v>
      </c>
      <c r="K199" s="231"/>
      <c r="L199" s="167" t="s">
        <v>9</v>
      </c>
      <c r="M199" s="167" t="s">
        <v>9</v>
      </c>
      <c r="N199" s="167" t="s">
        <v>9</v>
      </c>
      <c r="O199" s="141"/>
      <c r="P199" s="141"/>
    </row>
    <row r="200" spans="2:20" ht="255.75" hidden="1" customHeight="1">
      <c r="B200" s="167">
        <v>244</v>
      </c>
      <c r="C200" s="167">
        <v>10</v>
      </c>
      <c r="D200" s="155" t="s">
        <v>332</v>
      </c>
      <c r="E200" s="167">
        <v>1</v>
      </c>
      <c r="F200" s="192"/>
      <c r="G200" s="192">
        <f>F200</f>
        <v>0</v>
      </c>
      <c r="H200" s="231" t="s">
        <v>9</v>
      </c>
      <c r="I200" s="231"/>
      <c r="J200" s="231" t="s">
        <v>9</v>
      </c>
      <c r="K200" s="231"/>
      <c r="L200" s="167" t="s">
        <v>9</v>
      </c>
      <c r="M200" s="167" t="s">
        <v>9</v>
      </c>
      <c r="N200" s="167" t="s">
        <v>9</v>
      </c>
      <c r="O200" s="141"/>
      <c r="P200" s="141"/>
    </row>
    <row r="201" spans="2:20" ht="70.5" customHeight="1">
      <c r="B201" s="167">
        <v>112</v>
      </c>
      <c r="C201" s="167">
        <v>9</v>
      </c>
      <c r="D201" s="154" t="s">
        <v>388</v>
      </c>
      <c r="E201" s="167">
        <v>1</v>
      </c>
      <c r="F201" s="192">
        <f>13453+1384+2543.2</f>
        <v>17380.2</v>
      </c>
      <c r="G201" s="192">
        <f>F201</f>
        <v>17380.2</v>
      </c>
      <c r="H201" s="231" t="s">
        <v>9</v>
      </c>
      <c r="I201" s="231"/>
      <c r="J201" s="231" t="s">
        <v>9</v>
      </c>
      <c r="K201" s="231"/>
      <c r="L201" s="167" t="s">
        <v>9</v>
      </c>
      <c r="M201" s="167" t="s">
        <v>9</v>
      </c>
      <c r="N201" s="167" t="s">
        <v>9</v>
      </c>
      <c r="O201" s="141"/>
      <c r="P201" s="141"/>
    </row>
    <row r="202" spans="2:20" ht="36" customHeight="1">
      <c r="B202" s="167">
        <v>244</v>
      </c>
      <c r="C202" s="167">
        <v>1</v>
      </c>
      <c r="D202" s="155" t="s">
        <v>437</v>
      </c>
      <c r="E202" s="167">
        <v>1</v>
      </c>
      <c r="F202" s="192">
        <v>1029.26</v>
      </c>
      <c r="G202" s="192">
        <f>F202</f>
        <v>1029.26</v>
      </c>
      <c r="H202" s="231" t="s">
        <v>9</v>
      </c>
      <c r="I202" s="231"/>
      <c r="J202" s="231" t="s">
        <v>9</v>
      </c>
      <c r="K202" s="231"/>
      <c r="L202" s="167" t="s">
        <v>9</v>
      </c>
      <c r="M202" s="167" t="s">
        <v>9</v>
      </c>
      <c r="N202" s="167" t="s">
        <v>9</v>
      </c>
      <c r="O202" s="141"/>
      <c r="P202" s="141"/>
    </row>
    <row r="203" spans="2:20" ht="34.5" customHeight="1">
      <c r="B203" s="167">
        <v>244</v>
      </c>
      <c r="C203" s="167">
        <v>12</v>
      </c>
      <c r="D203" s="154" t="s">
        <v>440</v>
      </c>
      <c r="E203" s="167">
        <v>1</v>
      </c>
      <c r="F203" s="192">
        <v>27000</v>
      </c>
      <c r="G203" s="192">
        <f t="shared" si="9"/>
        <v>27000</v>
      </c>
      <c r="H203" s="231" t="s">
        <v>9</v>
      </c>
      <c r="I203" s="231"/>
      <c r="J203" s="231" t="s">
        <v>9</v>
      </c>
      <c r="K203" s="231"/>
      <c r="L203" s="167" t="s">
        <v>9</v>
      </c>
      <c r="M203" s="167" t="s">
        <v>9</v>
      </c>
      <c r="N203" s="167" t="s">
        <v>9</v>
      </c>
      <c r="O203" s="141"/>
      <c r="P203" s="141"/>
    </row>
    <row r="204" spans="2:20" ht="51.75" hidden="1" customHeight="1">
      <c r="B204" s="167">
        <v>244</v>
      </c>
      <c r="C204" s="167">
        <v>13</v>
      </c>
      <c r="D204" s="154" t="s">
        <v>386</v>
      </c>
      <c r="E204" s="167">
        <v>1</v>
      </c>
      <c r="F204" s="192"/>
      <c r="G204" s="192">
        <f t="shared" si="9"/>
        <v>0</v>
      </c>
      <c r="H204" s="231" t="s">
        <v>9</v>
      </c>
      <c r="I204" s="231"/>
      <c r="J204" s="231" t="s">
        <v>9</v>
      </c>
      <c r="K204" s="231"/>
      <c r="L204" s="167" t="s">
        <v>9</v>
      </c>
      <c r="M204" s="167" t="s">
        <v>9</v>
      </c>
      <c r="N204" s="167" t="s">
        <v>9</v>
      </c>
      <c r="O204" s="141"/>
      <c r="P204" s="141"/>
    </row>
    <row r="205" spans="2:20" ht="168.75" customHeight="1">
      <c r="B205" s="167">
        <v>244</v>
      </c>
      <c r="C205" s="167">
        <v>10</v>
      </c>
      <c r="D205" s="154" t="s">
        <v>278</v>
      </c>
      <c r="E205" s="167">
        <v>1</v>
      </c>
      <c r="F205" s="192">
        <f>221882+13837-7111.4</f>
        <v>228607.6</v>
      </c>
      <c r="G205" s="192">
        <f t="shared" si="9"/>
        <v>228607.6</v>
      </c>
      <c r="H205" s="231" t="s">
        <v>9</v>
      </c>
      <c r="I205" s="231"/>
      <c r="J205" s="231" t="s">
        <v>9</v>
      </c>
      <c r="K205" s="231"/>
      <c r="L205" s="167" t="s">
        <v>9</v>
      </c>
      <c r="M205" s="167" t="s">
        <v>9</v>
      </c>
      <c r="N205" s="167" t="s">
        <v>9</v>
      </c>
      <c r="O205" s="141"/>
      <c r="P205" s="141"/>
    </row>
    <row r="206" spans="2:20" ht="99" hidden="1" customHeight="1">
      <c r="B206" s="167">
        <v>244</v>
      </c>
      <c r="C206" s="167">
        <v>8</v>
      </c>
      <c r="D206" s="154" t="s">
        <v>333</v>
      </c>
      <c r="E206" s="167">
        <v>1</v>
      </c>
      <c r="F206" s="192"/>
      <c r="G206" s="192">
        <f t="shared" si="9"/>
        <v>0</v>
      </c>
      <c r="H206" s="231" t="s">
        <v>9</v>
      </c>
      <c r="I206" s="231"/>
      <c r="J206" s="231" t="s">
        <v>9</v>
      </c>
      <c r="K206" s="231"/>
      <c r="L206" s="167" t="s">
        <v>9</v>
      </c>
      <c r="M206" s="167" t="s">
        <v>9</v>
      </c>
      <c r="N206" s="167" t="s">
        <v>9</v>
      </c>
      <c r="O206" s="141"/>
      <c r="P206" s="141"/>
    </row>
    <row r="207" spans="2:20" ht="84" hidden="1" customHeight="1">
      <c r="B207" s="167">
        <v>244</v>
      </c>
      <c r="C207" s="167">
        <v>9</v>
      </c>
      <c r="D207" s="154" t="s">
        <v>334</v>
      </c>
      <c r="E207" s="167">
        <v>1</v>
      </c>
      <c r="F207" s="192"/>
      <c r="G207" s="192">
        <f t="shared" si="9"/>
        <v>0</v>
      </c>
      <c r="H207" s="231" t="s">
        <v>9</v>
      </c>
      <c r="I207" s="231"/>
      <c r="J207" s="231" t="s">
        <v>9</v>
      </c>
      <c r="K207" s="231"/>
      <c r="L207" s="167" t="s">
        <v>9</v>
      </c>
      <c r="M207" s="167" t="s">
        <v>9</v>
      </c>
      <c r="N207" s="167" t="s">
        <v>9</v>
      </c>
      <c r="O207" s="141"/>
      <c r="P207" s="141"/>
    </row>
    <row r="208" spans="2:20" ht="48" hidden="1" customHeight="1">
      <c r="B208" s="167">
        <v>244</v>
      </c>
      <c r="C208" s="167">
        <v>13</v>
      </c>
      <c r="D208" s="154" t="s">
        <v>336</v>
      </c>
      <c r="E208" s="167">
        <v>1</v>
      </c>
      <c r="F208" s="192"/>
      <c r="G208" s="192">
        <f t="shared" si="9"/>
        <v>0</v>
      </c>
      <c r="H208" s="231" t="s">
        <v>9</v>
      </c>
      <c r="I208" s="231"/>
      <c r="J208" s="231" t="s">
        <v>9</v>
      </c>
      <c r="K208" s="231"/>
      <c r="L208" s="167" t="s">
        <v>9</v>
      </c>
      <c r="M208" s="167" t="s">
        <v>9</v>
      </c>
      <c r="N208" s="167" t="s">
        <v>9</v>
      </c>
      <c r="O208" s="141"/>
      <c r="P208" s="141"/>
    </row>
    <row r="209" spans="2:18" ht="49.15" customHeight="1">
      <c r="B209" s="167">
        <v>244</v>
      </c>
      <c r="C209" s="167">
        <v>11</v>
      </c>
      <c r="D209" s="154" t="s">
        <v>385</v>
      </c>
      <c r="E209" s="167">
        <v>1</v>
      </c>
      <c r="F209" s="192">
        <v>7500</v>
      </c>
      <c r="G209" s="192">
        <f t="shared" si="9"/>
        <v>7500</v>
      </c>
      <c r="H209" s="231" t="s">
        <v>9</v>
      </c>
      <c r="I209" s="231"/>
      <c r="J209" s="231" t="s">
        <v>9</v>
      </c>
      <c r="K209" s="231"/>
      <c r="L209" s="167" t="s">
        <v>9</v>
      </c>
      <c r="M209" s="167" t="s">
        <v>9</v>
      </c>
      <c r="N209" s="167" t="s">
        <v>9</v>
      </c>
      <c r="O209" s="141"/>
      <c r="P209" s="141"/>
    </row>
    <row r="210" spans="2:18" ht="15.75" customHeight="1">
      <c r="B210" s="156"/>
      <c r="C210" s="233"/>
      <c r="D210" s="235"/>
      <c r="E210" s="183" t="s">
        <v>9</v>
      </c>
      <c r="F210" s="183" t="s">
        <v>9</v>
      </c>
      <c r="G210" s="150">
        <f>SUM(G191:G209)</f>
        <v>370109.68</v>
      </c>
      <c r="H210" s="244">
        <f>T191</f>
        <v>88217.95</v>
      </c>
      <c r="I210" s="245"/>
      <c r="J210" s="244">
        <f>T193</f>
        <v>261302</v>
      </c>
      <c r="K210" s="245"/>
      <c r="L210" s="186">
        <v>0</v>
      </c>
      <c r="M210" s="186">
        <f>T192</f>
        <v>20589.73</v>
      </c>
      <c r="N210" s="190">
        <v>0</v>
      </c>
      <c r="O210" s="137"/>
      <c r="P210" s="137"/>
      <c r="Q210" s="134">
        <f>SUM(H210:M210)</f>
        <v>370109.68</v>
      </c>
      <c r="R210" s="68">
        <f>Q210-G210</f>
        <v>0</v>
      </c>
    </row>
    <row r="211" spans="2:18" ht="15.75">
      <c r="B211" s="74"/>
      <c r="C211" s="74"/>
      <c r="D211" s="74"/>
      <c r="E211" s="74"/>
      <c r="F211" s="104"/>
      <c r="G211" s="104"/>
      <c r="H211" s="74"/>
      <c r="I211" s="74"/>
      <c r="J211" s="74"/>
      <c r="K211" s="98"/>
      <c r="L211" s="74"/>
      <c r="M211" s="74"/>
      <c r="N211" s="153"/>
      <c r="O211" s="153"/>
      <c r="P211" s="153"/>
      <c r="Q211" s="72" t="b">
        <f>G210=Q210</f>
        <v>1</v>
      </c>
    </row>
    <row r="212" spans="2:18" ht="24" customHeight="1">
      <c r="B212" s="74"/>
      <c r="C212" s="269" t="s">
        <v>291</v>
      </c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74"/>
      <c r="O212" s="74"/>
      <c r="P212" s="74"/>
    </row>
    <row r="213" spans="2:18" ht="15.75"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</row>
    <row r="214" spans="2:18" ht="31.5" customHeight="1">
      <c r="B214" s="246" t="s">
        <v>191</v>
      </c>
      <c r="C214" s="246" t="s">
        <v>2</v>
      </c>
      <c r="D214" s="246" t="s">
        <v>24</v>
      </c>
      <c r="E214" s="246" t="s">
        <v>245</v>
      </c>
      <c r="F214" s="246" t="s">
        <v>246</v>
      </c>
      <c r="G214" s="170" t="s">
        <v>207</v>
      </c>
      <c r="H214" s="241" t="s">
        <v>193</v>
      </c>
      <c r="I214" s="271"/>
      <c r="J214" s="271"/>
      <c r="K214" s="271"/>
      <c r="L214" s="271"/>
      <c r="M214" s="271"/>
      <c r="N214" s="242"/>
      <c r="O214" s="137"/>
      <c r="P214" s="137"/>
    </row>
    <row r="215" spans="2:18" ht="99.75" customHeight="1">
      <c r="B215" s="270"/>
      <c r="C215" s="270"/>
      <c r="D215" s="270"/>
      <c r="E215" s="270"/>
      <c r="F215" s="270"/>
      <c r="G215" s="246" t="s">
        <v>239</v>
      </c>
      <c r="H215" s="248" t="s">
        <v>194</v>
      </c>
      <c r="I215" s="249"/>
      <c r="J215" s="252" t="s">
        <v>195</v>
      </c>
      <c r="K215" s="253"/>
      <c r="L215" s="260" t="s">
        <v>196</v>
      </c>
      <c r="M215" s="262" t="s">
        <v>197</v>
      </c>
      <c r="N215" s="263"/>
      <c r="O215" s="137"/>
      <c r="P215" s="177"/>
    </row>
    <row r="216" spans="2:18" ht="15.75" customHeight="1">
      <c r="B216" s="247"/>
      <c r="C216" s="247"/>
      <c r="D216" s="247"/>
      <c r="E216" s="247"/>
      <c r="F216" s="247"/>
      <c r="G216" s="247"/>
      <c r="H216" s="250"/>
      <c r="I216" s="251"/>
      <c r="J216" s="254"/>
      <c r="K216" s="255"/>
      <c r="L216" s="261"/>
      <c r="M216" s="169" t="s">
        <v>14</v>
      </c>
      <c r="N216" s="169" t="s">
        <v>198</v>
      </c>
      <c r="O216" s="177"/>
      <c r="P216" s="177"/>
    </row>
    <row r="217" spans="2:18" ht="15.75">
      <c r="B217" s="170">
        <v>1</v>
      </c>
      <c r="C217" s="170">
        <v>2</v>
      </c>
      <c r="D217" s="170">
        <v>3</v>
      </c>
      <c r="E217" s="170">
        <v>4</v>
      </c>
      <c r="F217" s="170">
        <v>5</v>
      </c>
      <c r="G217" s="170">
        <v>6</v>
      </c>
      <c r="H217" s="241">
        <v>7</v>
      </c>
      <c r="I217" s="242"/>
      <c r="J217" s="241">
        <v>8</v>
      </c>
      <c r="K217" s="242"/>
      <c r="L217" s="170">
        <v>9</v>
      </c>
      <c r="M217" s="170">
        <v>10</v>
      </c>
      <c r="N217" s="170">
        <v>11</v>
      </c>
      <c r="O217" s="177"/>
      <c r="P217" s="177"/>
    </row>
    <row r="218" spans="2:18" ht="27.6" customHeight="1">
      <c r="B218" s="167">
        <v>244</v>
      </c>
      <c r="C218" s="167" t="s">
        <v>199</v>
      </c>
      <c r="D218" s="80"/>
      <c r="E218" s="157"/>
      <c r="F218" s="69"/>
      <c r="G218" s="69"/>
      <c r="H218" s="272" t="s">
        <v>9</v>
      </c>
      <c r="I218" s="273"/>
      <c r="J218" s="272" t="s">
        <v>9</v>
      </c>
      <c r="K218" s="273"/>
      <c r="L218" s="192" t="s">
        <v>9</v>
      </c>
      <c r="M218" s="192" t="s">
        <v>9</v>
      </c>
      <c r="N218" s="192" t="s">
        <v>9</v>
      </c>
      <c r="O218" s="152"/>
      <c r="P218" s="152"/>
    </row>
    <row r="219" spans="2:18" s="151" customFormat="1" ht="15.75">
      <c r="B219" s="167"/>
      <c r="C219" s="233" t="s">
        <v>23</v>
      </c>
      <c r="D219" s="235"/>
      <c r="E219" s="186" t="s">
        <v>9</v>
      </c>
      <c r="F219" s="186" t="s">
        <v>9</v>
      </c>
      <c r="G219" s="150">
        <f>SUM(G218)</f>
        <v>0</v>
      </c>
      <c r="H219" s="265">
        <f>G219</f>
        <v>0</v>
      </c>
      <c r="I219" s="266"/>
      <c r="J219" s="267">
        <v>0</v>
      </c>
      <c r="K219" s="268"/>
      <c r="L219" s="186">
        <v>0</v>
      </c>
      <c r="M219" s="186">
        <v>0</v>
      </c>
      <c r="N219" s="186">
        <v>0</v>
      </c>
      <c r="O219" s="81"/>
      <c r="P219" s="81"/>
      <c r="Q219" s="81" t="s">
        <v>303</v>
      </c>
      <c r="R219" s="81"/>
    </row>
    <row r="220" spans="2:18" s="151" customFormat="1" ht="15.75" customHeight="1">
      <c r="B220" s="158"/>
      <c r="C220" s="158"/>
      <c r="D220" s="159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</row>
    <row r="221" spans="2:18" ht="26.25" customHeight="1">
      <c r="B221" s="74"/>
      <c r="C221" s="269" t="s">
        <v>342</v>
      </c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74"/>
      <c r="O221" s="74"/>
      <c r="P221" s="74"/>
    </row>
    <row r="222" spans="2:18" ht="15.75" customHeight="1"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</row>
    <row r="223" spans="2:18" ht="31.5" customHeight="1">
      <c r="B223" s="246" t="s">
        <v>191</v>
      </c>
      <c r="C223" s="246" t="s">
        <v>2</v>
      </c>
      <c r="D223" s="246" t="s">
        <v>24</v>
      </c>
      <c r="E223" s="246" t="s">
        <v>237</v>
      </c>
      <c r="F223" s="246" t="s">
        <v>238</v>
      </c>
      <c r="G223" s="170" t="s">
        <v>207</v>
      </c>
      <c r="H223" s="241" t="s">
        <v>193</v>
      </c>
      <c r="I223" s="271"/>
      <c r="J223" s="271"/>
      <c r="K223" s="271"/>
      <c r="L223" s="271"/>
      <c r="M223" s="271"/>
      <c r="N223" s="242"/>
      <c r="O223" s="137"/>
      <c r="P223" s="137"/>
    </row>
    <row r="224" spans="2:18" ht="100.5" customHeight="1">
      <c r="B224" s="270"/>
      <c r="C224" s="270"/>
      <c r="D224" s="270"/>
      <c r="E224" s="270"/>
      <c r="F224" s="270"/>
      <c r="G224" s="246" t="s">
        <v>239</v>
      </c>
      <c r="H224" s="248" t="s">
        <v>194</v>
      </c>
      <c r="I224" s="249"/>
      <c r="J224" s="252" t="s">
        <v>195</v>
      </c>
      <c r="K224" s="253"/>
      <c r="L224" s="260" t="s">
        <v>196</v>
      </c>
      <c r="M224" s="262" t="s">
        <v>197</v>
      </c>
      <c r="N224" s="263"/>
      <c r="O224" s="137"/>
      <c r="P224" s="177"/>
    </row>
    <row r="225" spans="2:17" ht="31.5">
      <c r="B225" s="247"/>
      <c r="C225" s="247"/>
      <c r="D225" s="247"/>
      <c r="E225" s="247"/>
      <c r="F225" s="247"/>
      <c r="G225" s="247"/>
      <c r="H225" s="250"/>
      <c r="I225" s="251"/>
      <c r="J225" s="254"/>
      <c r="K225" s="255"/>
      <c r="L225" s="261"/>
      <c r="M225" s="169" t="s">
        <v>14</v>
      </c>
      <c r="N225" s="169" t="s">
        <v>198</v>
      </c>
      <c r="O225" s="177"/>
      <c r="P225" s="177"/>
    </row>
    <row r="226" spans="2:17" ht="15.75" customHeight="1">
      <c r="B226" s="170">
        <v>1</v>
      </c>
      <c r="C226" s="170">
        <v>2</v>
      </c>
      <c r="D226" s="170">
        <v>3</v>
      </c>
      <c r="E226" s="170">
        <v>4</v>
      </c>
      <c r="F226" s="170">
        <v>5</v>
      </c>
      <c r="G226" s="170">
        <v>6</v>
      </c>
      <c r="H226" s="241">
        <v>7</v>
      </c>
      <c r="I226" s="242"/>
      <c r="J226" s="241">
        <v>8</v>
      </c>
      <c r="K226" s="242"/>
      <c r="L226" s="170">
        <v>9</v>
      </c>
      <c r="M226" s="170">
        <v>10</v>
      </c>
      <c r="N226" s="170">
        <v>11</v>
      </c>
      <c r="O226" s="177"/>
      <c r="P226" s="177"/>
    </row>
    <row r="227" spans="2:17" ht="15.75">
      <c r="B227" s="167">
        <v>244</v>
      </c>
      <c r="C227" s="167" t="s">
        <v>199</v>
      </c>
      <c r="D227" s="80"/>
      <c r="E227" s="167"/>
      <c r="F227" s="192"/>
      <c r="G227" s="192">
        <f>F227</f>
        <v>0</v>
      </c>
      <c r="H227" s="229" t="s">
        <v>9</v>
      </c>
      <c r="I227" s="230"/>
      <c r="J227" s="229" t="s">
        <v>9</v>
      </c>
      <c r="K227" s="230"/>
      <c r="L227" s="167" t="s">
        <v>9</v>
      </c>
      <c r="M227" s="167" t="s">
        <v>9</v>
      </c>
      <c r="N227" s="167" t="s">
        <v>9</v>
      </c>
      <c r="O227" s="149"/>
      <c r="P227" s="149"/>
    </row>
    <row r="228" spans="2:17" s="151" customFormat="1" ht="15.75">
      <c r="B228" s="145"/>
      <c r="C228" s="233" t="s">
        <v>23</v>
      </c>
      <c r="D228" s="235"/>
      <c r="E228" s="183" t="s">
        <v>9</v>
      </c>
      <c r="F228" s="183" t="s">
        <v>9</v>
      </c>
      <c r="G228" s="186">
        <f>SUM(G227:G227)</f>
        <v>0</v>
      </c>
      <c r="H228" s="244">
        <v>0</v>
      </c>
      <c r="I228" s="244"/>
      <c r="J228" s="244">
        <f>G228</f>
        <v>0</v>
      </c>
      <c r="K228" s="245"/>
      <c r="L228" s="150">
        <v>0</v>
      </c>
      <c r="M228" s="150">
        <v>0</v>
      </c>
      <c r="N228" s="150">
        <v>0</v>
      </c>
      <c r="O228" s="81"/>
      <c r="P228" s="81"/>
    </row>
    <row r="229" spans="2:17" s="151" customFormat="1" ht="15.75">
      <c r="B229" s="144"/>
      <c r="C229" s="160"/>
      <c r="D229" s="160"/>
      <c r="E229" s="90"/>
      <c r="F229" s="90"/>
      <c r="G229" s="81"/>
      <c r="H229" s="81"/>
      <c r="I229" s="81"/>
      <c r="J229" s="81"/>
      <c r="K229" s="90"/>
      <c r="L229" s="161"/>
      <c r="M229" s="161"/>
      <c r="N229" s="161"/>
      <c r="O229" s="81"/>
      <c r="P229" s="81"/>
    </row>
    <row r="230" spans="2:17" s="151" customFormat="1" ht="15.75">
      <c r="B230" s="306" t="s">
        <v>343</v>
      </c>
      <c r="C230" s="306"/>
      <c r="D230" s="306"/>
      <c r="E230" s="306"/>
      <c r="F230" s="306"/>
      <c r="G230" s="306"/>
      <c r="H230" s="306"/>
      <c r="I230" s="307"/>
      <c r="J230" s="307"/>
      <c r="K230" s="307"/>
      <c r="L230" s="307"/>
      <c r="M230" s="307"/>
      <c r="N230" s="307"/>
      <c r="O230" s="81"/>
      <c r="P230" s="81"/>
    </row>
    <row r="231" spans="2:17" ht="15.75" customHeight="1"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</row>
    <row r="232" spans="2:17" ht="15.75" customHeight="1">
      <c r="B232" s="246" t="s">
        <v>191</v>
      </c>
      <c r="C232" s="246" t="s">
        <v>2</v>
      </c>
      <c r="D232" s="246" t="s">
        <v>24</v>
      </c>
      <c r="E232" s="246" t="s">
        <v>237</v>
      </c>
      <c r="F232" s="246" t="s">
        <v>238</v>
      </c>
      <c r="G232" s="170" t="s">
        <v>207</v>
      </c>
      <c r="H232" s="241" t="s">
        <v>193</v>
      </c>
      <c r="I232" s="271"/>
      <c r="J232" s="271"/>
      <c r="K232" s="271"/>
      <c r="L232" s="271"/>
      <c r="M232" s="271"/>
      <c r="N232" s="242"/>
      <c r="O232" s="74"/>
      <c r="P232" s="74"/>
    </row>
    <row r="233" spans="2:17" ht="87" customHeight="1">
      <c r="B233" s="270"/>
      <c r="C233" s="270"/>
      <c r="D233" s="270"/>
      <c r="E233" s="270"/>
      <c r="F233" s="270"/>
      <c r="G233" s="246" t="s">
        <v>239</v>
      </c>
      <c r="H233" s="248" t="s">
        <v>194</v>
      </c>
      <c r="I233" s="249"/>
      <c r="J233" s="252" t="s">
        <v>195</v>
      </c>
      <c r="K233" s="253"/>
      <c r="L233" s="260" t="s">
        <v>196</v>
      </c>
      <c r="M233" s="262" t="s">
        <v>197</v>
      </c>
      <c r="N233" s="263"/>
      <c r="O233" s="74"/>
      <c r="P233" s="74"/>
    </row>
    <row r="234" spans="2:17" ht="35.25" customHeight="1">
      <c r="B234" s="247"/>
      <c r="C234" s="247"/>
      <c r="D234" s="247"/>
      <c r="E234" s="247"/>
      <c r="F234" s="247"/>
      <c r="G234" s="247"/>
      <c r="H234" s="250"/>
      <c r="I234" s="251"/>
      <c r="J234" s="254"/>
      <c r="K234" s="255"/>
      <c r="L234" s="261"/>
      <c r="M234" s="169" t="s">
        <v>14</v>
      </c>
      <c r="N234" s="169" t="s">
        <v>198</v>
      </c>
      <c r="O234" s="74"/>
      <c r="P234" s="74"/>
    </row>
    <row r="235" spans="2:17" ht="21" customHeight="1">
      <c r="B235" s="170">
        <v>1</v>
      </c>
      <c r="C235" s="170">
        <v>2</v>
      </c>
      <c r="D235" s="170">
        <v>3</v>
      </c>
      <c r="E235" s="170">
        <v>4</v>
      </c>
      <c r="F235" s="170">
        <v>5</v>
      </c>
      <c r="G235" s="170">
        <v>6</v>
      </c>
      <c r="H235" s="241">
        <v>7</v>
      </c>
      <c r="I235" s="242"/>
      <c r="J235" s="241">
        <v>8</v>
      </c>
      <c r="K235" s="242"/>
      <c r="L235" s="170">
        <v>9</v>
      </c>
      <c r="M235" s="170">
        <v>10</v>
      </c>
      <c r="N235" s="170">
        <v>11</v>
      </c>
      <c r="O235" s="74"/>
      <c r="P235" s="74"/>
      <c r="Q235" s="151" t="s">
        <v>390</v>
      </c>
    </row>
    <row r="236" spans="2:17" ht="38.450000000000003" customHeight="1">
      <c r="B236" s="167">
        <v>244</v>
      </c>
      <c r="C236" s="167">
        <v>1</v>
      </c>
      <c r="D236" s="147" t="s">
        <v>403</v>
      </c>
      <c r="E236" s="167">
        <v>1</v>
      </c>
      <c r="F236" s="198">
        <f>513829-702-7267</f>
        <v>505860</v>
      </c>
      <c r="G236" s="198">
        <f>F236*E236</f>
        <v>505860</v>
      </c>
      <c r="H236" s="229" t="s">
        <v>9</v>
      </c>
      <c r="I236" s="230"/>
      <c r="J236" s="229" t="s">
        <v>9</v>
      </c>
      <c r="K236" s="230"/>
      <c r="L236" s="167" t="s">
        <v>9</v>
      </c>
      <c r="M236" s="167" t="s">
        <v>9</v>
      </c>
      <c r="N236" s="167" t="s">
        <v>9</v>
      </c>
      <c r="O236" s="74"/>
      <c r="P236" s="74"/>
    </row>
    <row r="237" spans="2:17" ht="39.75" customHeight="1">
      <c r="B237" s="167">
        <v>244</v>
      </c>
      <c r="C237" s="167">
        <v>2</v>
      </c>
      <c r="D237" s="193" t="s">
        <v>410</v>
      </c>
      <c r="E237" s="167">
        <v>1</v>
      </c>
      <c r="F237" s="198">
        <v>11960</v>
      </c>
      <c r="G237" s="198">
        <f t="shared" ref="G237:G252" si="10">F237*E237</f>
        <v>11960</v>
      </c>
      <c r="H237" s="229" t="s">
        <v>9</v>
      </c>
      <c r="I237" s="230"/>
      <c r="J237" s="229" t="s">
        <v>9</v>
      </c>
      <c r="K237" s="230"/>
      <c r="L237" s="167" t="s">
        <v>9</v>
      </c>
      <c r="M237" s="167" t="s">
        <v>9</v>
      </c>
      <c r="N237" s="167" t="s">
        <v>9</v>
      </c>
      <c r="O237" s="74"/>
      <c r="P237" s="74"/>
    </row>
    <row r="238" spans="2:17" ht="39.75" customHeight="1">
      <c r="B238" s="167">
        <v>244</v>
      </c>
      <c r="C238" s="167">
        <v>3</v>
      </c>
      <c r="D238" s="193" t="s">
        <v>419</v>
      </c>
      <c r="E238" s="167">
        <v>1</v>
      </c>
      <c r="F238" s="198">
        <v>38998</v>
      </c>
      <c r="G238" s="198">
        <f t="shared" si="10"/>
        <v>38998</v>
      </c>
      <c r="H238" s="229" t="s">
        <v>9</v>
      </c>
      <c r="I238" s="230"/>
      <c r="J238" s="229" t="s">
        <v>9</v>
      </c>
      <c r="K238" s="230"/>
      <c r="L238" s="167" t="s">
        <v>9</v>
      </c>
      <c r="M238" s="167" t="s">
        <v>9</v>
      </c>
      <c r="N238" s="167" t="s">
        <v>9</v>
      </c>
      <c r="O238" s="74"/>
      <c r="P238" s="74"/>
    </row>
    <row r="239" spans="2:17" ht="39.75" customHeight="1">
      <c r="B239" s="167">
        <v>244</v>
      </c>
      <c r="C239" s="167">
        <v>4</v>
      </c>
      <c r="D239" s="193" t="s">
        <v>420</v>
      </c>
      <c r="E239" s="167">
        <v>1</v>
      </c>
      <c r="F239" s="198">
        <v>8000</v>
      </c>
      <c r="G239" s="198">
        <f t="shared" si="10"/>
        <v>8000</v>
      </c>
      <c r="H239" s="229" t="s">
        <v>9</v>
      </c>
      <c r="I239" s="230"/>
      <c r="J239" s="229" t="s">
        <v>9</v>
      </c>
      <c r="K239" s="230"/>
      <c r="L239" s="167" t="s">
        <v>9</v>
      </c>
      <c r="M239" s="167" t="s">
        <v>9</v>
      </c>
      <c r="N239" s="167" t="s">
        <v>9</v>
      </c>
      <c r="O239" s="74"/>
      <c r="P239" s="74"/>
    </row>
    <row r="240" spans="2:17" ht="39.75" customHeight="1">
      <c r="B240" s="167">
        <v>244</v>
      </c>
      <c r="C240" s="167">
        <v>5</v>
      </c>
      <c r="D240" s="193" t="s">
        <v>421</v>
      </c>
      <c r="E240" s="167">
        <v>1</v>
      </c>
      <c r="F240" s="198">
        <v>8725</v>
      </c>
      <c r="G240" s="198">
        <f t="shared" si="10"/>
        <v>8725</v>
      </c>
      <c r="H240" s="229" t="s">
        <v>9</v>
      </c>
      <c r="I240" s="230"/>
      <c r="J240" s="229" t="s">
        <v>9</v>
      </c>
      <c r="K240" s="230"/>
      <c r="L240" s="167" t="s">
        <v>9</v>
      </c>
      <c r="M240" s="167" t="s">
        <v>9</v>
      </c>
      <c r="N240" s="167" t="s">
        <v>9</v>
      </c>
      <c r="O240" s="74"/>
      <c r="P240" s="74"/>
    </row>
    <row r="241" spans="2:16" ht="39.75" customHeight="1">
      <c r="B241" s="167">
        <v>244</v>
      </c>
      <c r="C241" s="167">
        <v>6</v>
      </c>
      <c r="D241" s="193" t="s">
        <v>422</v>
      </c>
      <c r="E241" s="167">
        <v>1</v>
      </c>
      <c r="F241" s="198">
        <v>7999</v>
      </c>
      <c r="G241" s="198">
        <f t="shared" si="10"/>
        <v>7999</v>
      </c>
      <c r="H241" s="229" t="s">
        <v>9</v>
      </c>
      <c r="I241" s="230"/>
      <c r="J241" s="229" t="s">
        <v>9</v>
      </c>
      <c r="K241" s="230"/>
      <c r="L241" s="203" t="s">
        <v>9</v>
      </c>
      <c r="M241" s="203" t="s">
        <v>9</v>
      </c>
      <c r="N241" s="203" t="s">
        <v>9</v>
      </c>
      <c r="O241" s="74"/>
      <c r="P241" s="74"/>
    </row>
    <row r="242" spans="2:16" ht="39.75" customHeight="1">
      <c r="B242" s="167">
        <v>244</v>
      </c>
      <c r="C242" s="167">
        <v>7</v>
      </c>
      <c r="D242" s="193" t="s">
        <v>425</v>
      </c>
      <c r="E242" s="167">
        <v>1</v>
      </c>
      <c r="F242" s="198">
        <v>2200</v>
      </c>
      <c r="G242" s="198">
        <f t="shared" si="10"/>
        <v>2200</v>
      </c>
      <c r="H242" s="229" t="s">
        <v>9</v>
      </c>
      <c r="I242" s="230"/>
      <c r="J242" s="229" t="s">
        <v>9</v>
      </c>
      <c r="K242" s="230"/>
      <c r="L242" s="203" t="s">
        <v>9</v>
      </c>
      <c r="M242" s="203" t="s">
        <v>9</v>
      </c>
      <c r="N242" s="203" t="s">
        <v>9</v>
      </c>
      <c r="O242" s="74"/>
      <c r="P242" s="74"/>
    </row>
    <row r="243" spans="2:16" ht="39.75" customHeight="1">
      <c r="B243" s="167">
        <v>244</v>
      </c>
      <c r="C243" s="167">
        <v>8</v>
      </c>
      <c r="D243" s="193" t="s">
        <v>422</v>
      </c>
      <c r="E243" s="167">
        <v>1</v>
      </c>
      <c r="F243" s="198">
        <v>7999</v>
      </c>
      <c r="G243" s="198">
        <f t="shared" si="10"/>
        <v>7999</v>
      </c>
      <c r="H243" s="229" t="s">
        <v>9</v>
      </c>
      <c r="I243" s="230"/>
      <c r="J243" s="229" t="s">
        <v>9</v>
      </c>
      <c r="K243" s="230"/>
      <c r="L243" s="203" t="s">
        <v>9</v>
      </c>
      <c r="M243" s="203" t="s">
        <v>9</v>
      </c>
      <c r="N243" s="203" t="s">
        <v>9</v>
      </c>
      <c r="O243" s="74"/>
      <c r="P243" s="74"/>
    </row>
    <row r="244" spans="2:16" ht="39.75" hidden="1" customHeight="1">
      <c r="B244" s="167">
        <v>244</v>
      </c>
      <c r="C244" s="167">
        <v>7</v>
      </c>
      <c r="D244" s="193"/>
      <c r="E244" s="167">
        <v>1</v>
      </c>
      <c r="F244" s="198"/>
      <c r="G244" s="198">
        <f t="shared" si="10"/>
        <v>0</v>
      </c>
      <c r="H244" s="229" t="s">
        <v>9</v>
      </c>
      <c r="I244" s="230"/>
      <c r="J244" s="229" t="s">
        <v>9</v>
      </c>
      <c r="K244" s="230"/>
      <c r="L244" s="203" t="s">
        <v>9</v>
      </c>
      <c r="M244" s="203" t="s">
        <v>9</v>
      </c>
      <c r="N244" s="203" t="s">
        <v>9</v>
      </c>
      <c r="O244" s="74"/>
      <c r="P244" s="74"/>
    </row>
    <row r="245" spans="2:16" ht="39.75" hidden="1" customHeight="1">
      <c r="B245" s="167">
        <v>244</v>
      </c>
      <c r="C245" s="167">
        <v>8</v>
      </c>
      <c r="D245" s="193"/>
      <c r="E245" s="167">
        <v>1</v>
      </c>
      <c r="F245" s="198"/>
      <c r="G245" s="198">
        <f t="shared" si="10"/>
        <v>0</v>
      </c>
      <c r="H245" s="229" t="s">
        <v>9</v>
      </c>
      <c r="I245" s="230"/>
      <c r="J245" s="229" t="s">
        <v>9</v>
      </c>
      <c r="K245" s="230"/>
      <c r="L245" s="203" t="s">
        <v>9</v>
      </c>
      <c r="M245" s="203" t="s">
        <v>9</v>
      </c>
      <c r="N245" s="203" t="s">
        <v>9</v>
      </c>
      <c r="O245" s="74"/>
      <c r="P245" s="74"/>
    </row>
    <row r="246" spans="2:16" ht="39.75" hidden="1" customHeight="1">
      <c r="B246" s="167">
        <v>244</v>
      </c>
      <c r="C246" s="167" t="s">
        <v>182</v>
      </c>
      <c r="D246" s="193"/>
      <c r="E246" s="167"/>
      <c r="F246" s="198">
        <v>0</v>
      </c>
      <c r="G246" s="198">
        <f t="shared" si="10"/>
        <v>0</v>
      </c>
      <c r="H246" s="229" t="s">
        <v>9</v>
      </c>
      <c r="I246" s="230"/>
      <c r="J246" s="229" t="s">
        <v>9</v>
      </c>
      <c r="K246" s="230"/>
      <c r="L246" s="203" t="s">
        <v>9</v>
      </c>
      <c r="M246" s="203" t="s">
        <v>9</v>
      </c>
      <c r="N246" s="203" t="s">
        <v>9</v>
      </c>
      <c r="O246" s="74"/>
      <c r="P246" s="74"/>
    </row>
    <row r="247" spans="2:16" ht="39.75" hidden="1" customHeight="1">
      <c r="B247" s="167">
        <v>244</v>
      </c>
      <c r="C247" s="167">
        <v>4</v>
      </c>
      <c r="D247" s="193"/>
      <c r="E247" s="167"/>
      <c r="F247" s="198">
        <v>0</v>
      </c>
      <c r="G247" s="198">
        <f t="shared" si="10"/>
        <v>0</v>
      </c>
      <c r="H247" s="229" t="s">
        <v>9</v>
      </c>
      <c r="I247" s="230"/>
      <c r="J247" s="229" t="s">
        <v>9</v>
      </c>
      <c r="K247" s="230"/>
      <c r="L247" s="203" t="s">
        <v>9</v>
      </c>
      <c r="M247" s="203" t="s">
        <v>9</v>
      </c>
      <c r="N247" s="203" t="s">
        <v>9</v>
      </c>
      <c r="O247" s="74"/>
      <c r="P247" s="74"/>
    </row>
    <row r="248" spans="2:16" ht="39.75" hidden="1" customHeight="1">
      <c r="B248" s="167">
        <v>244</v>
      </c>
      <c r="C248" s="167" t="s">
        <v>228</v>
      </c>
      <c r="D248" s="193"/>
      <c r="E248" s="167"/>
      <c r="F248" s="198">
        <v>0</v>
      </c>
      <c r="G248" s="198">
        <f t="shared" si="10"/>
        <v>0</v>
      </c>
      <c r="H248" s="229" t="s">
        <v>9</v>
      </c>
      <c r="I248" s="230"/>
      <c r="J248" s="229" t="s">
        <v>9</v>
      </c>
      <c r="K248" s="230"/>
      <c r="L248" s="203" t="s">
        <v>9</v>
      </c>
      <c r="M248" s="203" t="s">
        <v>9</v>
      </c>
      <c r="N248" s="203" t="s">
        <v>9</v>
      </c>
      <c r="O248" s="74"/>
      <c r="P248" s="74"/>
    </row>
    <row r="249" spans="2:16" ht="39.75" hidden="1" customHeight="1">
      <c r="B249" s="167">
        <v>244</v>
      </c>
      <c r="C249" s="167" t="s">
        <v>364</v>
      </c>
      <c r="D249" s="193"/>
      <c r="E249" s="167"/>
      <c r="F249" s="198">
        <v>0</v>
      </c>
      <c r="G249" s="198">
        <f t="shared" si="10"/>
        <v>0</v>
      </c>
      <c r="H249" s="229" t="s">
        <v>9</v>
      </c>
      <c r="I249" s="230"/>
      <c r="J249" s="229" t="s">
        <v>9</v>
      </c>
      <c r="K249" s="230"/>
      <c r="L249" s="203" t="s">
        <v>9</v>
      </c>
      <c r="M249" s="203" t="s">
        <v>9</v>
      </c>
      <c r="N249" s="203" t="s">
        <v>9</v>
      </c>
      <c r="O249" s="74"/>
      <c r="P249" s="74"/>
    </row>
    <row r="250" spans="2:16" ht="39.75" hidden="1" customHeight="1">
      <c r="B250" s="167">
        <v>244</v>
      </c>
      <c r="C250" s="167" t="s">
        <v>272</v>
      </c>
      <c r="D250" s="147"/>
      <c r="E250" s="167"/>
      <c r="F250" s="198">
        <v>0</v>
      </c>
      <c r="G250" s="198">
        <f t="shared" si="10"/>
        <v>0</v>
      </c>
      <c r="H250" s="229" t="s">
        <v>9</v>
      </c>
      <c r="I250" s="230"/>
      <c r="J250" s="229" t="s">
        <v>9</v>
      </c>
      <c r="K250" s="230"/>
      <c r="L250" s="203" t="s">
        <v>9</v>
      </c>
      <c r="M250" s="203" t="s">
        <v>9</v>
      </c>
      <c r="N250" s="203" t="s">
        <v>9</v>
      </c>
      <c r="O250" s="74"/>
      <c r="P250" s="74"/>
    </row>
    <row r="251" spans="2:16" ht="39.75" customHeight="1">
      <c r="B251" s="203">
        <v>244</v>
      </c>
      <c r="C251" s="203">
        <v>9</v>
      </c>
      <c r="D251" s="206" t="s">
        <v>441</v>
      </c>
      <c r="E251" s="203">
        <v>1</v>
      </c>
      <c r="F251" s="198">
        <v>229500</v>
      </c>
      <c r="G251" s="198">
        <f>F251</f>
        <v>229500</v>
      </c>
      <c r="H251" s="229" t="s">
        <v>9</v>
      </c>
      <c r="I251" s="230"/>
      <c r="J251" s="229" t="s">
        <v>9</v>
      </c>
      <c r="K251" s="230"/>
      <c r="L251" s="203" t="s">
        <v>9</v>
      </c>
      <c r="M251" s="203" t="s">
        <v>9</v>
      </c>
      <c r="N251" s="203" t="s">
        <v>9</v>
      </c>
      <c r="O251" s="74"/>
      <c r="P251" s="74"/>
    </row>
    <row r="252" spans="2:16" ht="39.75" customHeight="1">
      <c r="B252" s="196">
        <v>244</v>
      </c>
      <c r="C252" s="196">
        <v>10</v>
      </c>
      <c r="D252" s="197" t="s">
        <v>435</v>
      </c>
      <c r="E252" s="196">
        <v>1</v>
      </c>
      <c r="F252" s="198">
        <v>64999</v>
      </c>
      <c r="G252" s="198">
        <f t="shared" si="10"/>
        <v>64999</v>
      </c>
      <c r="H252" s="229" t="s">
        <v>9</v>
      </c>
      <c r="I252" s="230"/>
      <c r="J252" s="229" t="s">
        <v>9</v>
      </c>
      <c r="K252" s="230"/>
      <c r="L252" s="203" t="s">
        <v>9</v>
      </c>
      <c r="M252" s="203" t="s">
        <v>9</v>
      </c>
      <c r="N252" s="203" t="s">
        <v>9</v>
      </c>
      <c r="O252" s="74"/>
      <c r="P252" s="74"/>
    </row>
    <row r="253" spans="2:16" ht="21.75" customHeight="1">
      <c r="B253" s="145"/>
      <c r="C253" s="233" t="s">
        <v>23</v>
      </c>
      <c r="D253" s="235"/>
      <c r="E253" s="183" t="s">
        <v>9</v>
      </c>
      <c r="F253" s="183" t="s">
        <v>9</v>
      </c>
      <c r="G253" s="199">
        <f>SUM(G236:G252)</f>
        <v>886240</v>
      </c>
      <c r="H253" s="232">
        <v>328048</v>
      </c>
      <c r="I253" s="232"/>
      <c r="J253" s="232">
        <v>0</v>
      </c>
      <c r="K253" s="232"/>
      <c r="L253" s="199">
        <v>0</v>
      </c>
      <c r="M253" s="199">
        <v>558192</v>
      </c>
      <c r="N253" s="199">
        <v>0</v>
      </c>
      <c r="O253" s="74"/>
      <c r="P253" s="74"/>
    </row>
    <row r="254" spans="2:16" ht="15.75" customHeight="1">
      <c r="B254" s="74"/>
      <c r="C254" s="74"/>
      <c r="D254" s="74"/>
      <c r="E254" s="74"/>
      <c r="F254" s="98"/>
      <c r="G254" s="74"/>
      <c r="H254" s="74"/>
      <c r="I254" s="74"/>
      <c r="L254" s="74"/>
      <c r="M254" s="74"/>
      <c r="N254" s="74"/>
      <c r="O254" s="74"/>
      <c r="P254" s="74"/>
    </row>
    <row r="255" spans="2:16" ht="15.75" customHeight="1"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</row>
    <row r="256" spans="2:16" ht="24.75" customHeight="1">
      <c r="B256" s="74"/>
      <c r="C256" s="264" t="s">
        <v>344</v>
      </c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74"/>
      <c r="O256" s="74"/>
      <c r="P256" s="74"/>
    </row>
    <row r="257" spans="2:21" ht="31.5" customHeight="1">
      <c r="B257" s="243" t="s">
        <v>191</v>
      </c>
      <c r="C257" s="243" t="s">
        <v>2</v>
      </c>
      <c r="D257" s="248" t="s">
        <v>24</v>
      </c>
      <c r="E257" s="249"/>
      <c r="F257" s="243" t="s">
        <v>37</v>
      </c>
      <c r="G257" s="243" t="s">
        <v>238</v>
      </c>
      <c r="H257" s="170" t="s">
        <v>207</v>
      </c>
      <c r="I257" s="243" t="s">
        <v>193</v>
      </c>
      <c r="J257" s="243"/>
      <c r="K257" s="243"/>
      <c r="L257" s="243"/>
      <c r="M257" s="243"/>
      <c r="N257" s="243"/>
      <c r="O257" s="243"/>
      <c r="P257" s="137"/>
    </row>
    <row r="258" spans="2:21" ht="96.75" customHeight="1">
      <c r="B258" s="243"/>
      <c r="C258" s="243"/>
      <c r="D258" s="256"/>
      <c r="E258" s="257"/>
      <c r="F258" s="243"/>
      <c r="G258" s="243"/>
      <c r="H258" s="243" t="s">
        <v>239</v>
      </c>
      <c r="I258" s="243" t="s">
        <v>194</v>
      </c>
      <c r="J258" s="243"/>
      <c r="K258" s="258" t="s">
        <v>195</v>
      </c>
      <c r="L258" s="258"/>
      <c r="M258" s="259" t="s">
        <v>196</v>
      </c>
      <c r="N258" s="259" t="s">
        <v>197</v>
      </c>
      <c r="O258" s="259"/>
      <c r="P258" s="137"/>
    </row>
    <row r="259" spans="2:21" ht="31.5">
      <c r="B259" s="243"/>
      <c r="C259" s="243"/>
      <c r="D259" s="250"/>
      <c r="E259" s="251"/>
      <c r="F259" s="243"/>
      <c r="G259" s="243"/>
      <c r="H259" s="243"/>
      <c r="I259" s="243"/>
      <c r="J259" s="243"/>
      <c r="K259" s="258"/>
      <c r="L259" s="258"/>
      <c r="M259" s="259"/>
      <c r="N259" s="169" t="s">
        <v>14</v>
      </c>
      <c r="O259" s="169" t="s">
        <v>198</v>
      </c>
      <c r="P259" s="177"/>
    </row>
    <row r="260" spans="2:21" ht="15.75" customHeight="1">
      <c r="B260" s="170">
        <v>1</v>
      </c>
      <c r="C260" s="170">
        <v>2</v>
      </c>
      <c r="D260" s="241">
        <v>3</v>
      </c>
      <c r="E260" s="242"/>
      <c r="F260" s="170">
        <v>4</v>
      </c>
      <c r="G260" s="170">
        <v>5</v>
      </c>
      <c r="H260" s="170">
        <v>6</v>
      </c>
      <c r="I260" s="243">
        <v>7</v>
      </c>
      <c r="J260" s="243"/>
      <c r="K260" s="243">
        <v>8</v>
      </c>
      <c r="L260" s="243"/>
      <c r="M260" s="170">
        <v>9</v>
      </c>
      <c r="N260" s="170">
        <v>10</v>
      </c>
      <c r="O260" s="170">
        <v>11</v>
      </c>
      <c r="P260" s="177"/>
      <c r="U260" s="72" t="s">
        <v>330</v>
      </c>
    </row>
    <row r="261" spans="2:21" ht="33" customHeight="1">
      <c r="B261" s="167">
        <v>244</v>
      </c>
      <c r="C261" s="167">
        <v>1</v>
      </c>
      <c r="D261" s="239" t="s">
        <v>393</v>
      </c>
      <c r="E261" s="240"/>
      <c r="F261" s="167">
        <v>1</v>
      </c>
      <c r="G261" s="200">
        <f>55750-5000</f>
        <v>50750</v>
      </c>
      <c r="H261" s="200">
        <f>G261</f>
        <v>50750</v>
      </c>
      <c r="I261" s="231" t="s">
        <v>9</v>
      </c>
      <c r="J261" s="231"/>
      <c r="K261" s="231" t="s">
        <v>9</v>
      </c>
      <c r="L261" s="231"/>
      <c r="M261" s="167" t="s">
        <v>9</v>
      </c>
      <c r="N261" s="167" t="s">
        <v>9</v>
      </c>
      <c r="O261" s="167" t="s">
        <v>9</v>
      </c>
      <c r="P261" s="141"/>
      <c r="Q261" s="81" t="s">
        <v>411</v>
      </c>
      <c r="R261" s="81"/>
      <c r="S261" s="89" t="s">
        <v>297</v>
      </c>
      <c r="T261" s="165">
        <v>955975.25</v>
      </c>
    </row>
    <row r="262" spans="2:21" ht="17.25" customHeight="1">
      <c r="B262" s="167">
        <v>244</v>
      </c>
      <c r="C262" s="167">
        <v>2</v>
      </c>
      <c r="D262" s="239" t="s">
        <v>262</v>
      </c>
      <c r="E262" s="240"/>
      <c r="F262" s="200">
        <f t="shared" ref="F262:F264" si="11">ROUND((H262/G262),0)</f>
        <v>77874</v>
      </c>
      <c r="G262" s="200">
        <v>85.14</v>
      </c>
      <c r="H262" s="201">
        <f>6646259.19-16048.44</f>
        <v>6630210.75</v>
      </c>
      <c r="I262" s="231" t="s">
        <v>9</v>
      </c>
      <c r="J262" s="231"/>
      <c r="K262" s="231" t="s">
        <v>9</v>
      </c>
      <c r="L262" s="231"/>
      <c r="M262" s="167" t="s">
        <v>9</v>
      </c>
      <c r="N262" s="167" t="s">
        <v>9</v>
      </c>
      <c r="O262" s="167" t="s">
        <v>9</v>
      </c>
      <c r="P262" s="141"/>
      <c r="Q262" s="81" t="s">
        <v>307</v>
      </c>
      <c r="R262" s="81"/>
      <c r="S262" s="89" t="s">
        <v>292</v>
      </c>
      <c r="T262" s="88">
        <f>6051225.83-53762.65</f>
        <v>5997463.1799999997</v>
      </c>
    </row>
    <row r="263" spans="2:21" ht="33" customHeight="1">
      <c r="B263" s="167">
        <v>244</v>
      </c>
      <c r="C263" s="167">
        <v>3</v>
      </c>
      <c r="D263" s="239" t="s">
        <v>263</v>
      </c>
      <c r="E263" s="240"/>
      <c r="F263" s="167">
        <v>1</v>
      </c>
      <c r="G263" s="200">
        <v>0</v>
      </c>
      <c r="H263" s="200">
        <f>G263</f>
        <v>0</v>
      </c>
      <c r="I263" s="231" t="s">
        <v>9</v>
      </c>
      <c r="J263" s="231"/>
      <c r="K263" s="231" t="s">
        <v>9</v>
      </c>
      <c r="L263" s="231"/>
      <c r="M263" s="167" t="s">
        <v>9</v>
      </c>
      <c r="N263" s="167" t="s">
        <v>9</v>
      </c>
      <c r="O263" s="167" t="s">
        <v>9</v>
      </c>
      <c r="P263" s="141"/>
      <c r="Q263" s="81" t="s">
        <v>308</v>
      </c>
      <c r="R263" s="81"/>
      <c r="S263" s="89" t="s">
        <v>305</v>
      </c>
      <c r="T263" s="83">
        <v>8800</v>
      </c>
    </row>
    <row r="264" spans="2:21" ht="31.5" customHeight="1">
      <c r="B264" s="167">
        <v>244</v>
      </c>
      <c r="C264" s="167">
        <v>4</v>
      </c>
      <c r="D264" s="239" t="s">
        <v>306</v>
      </c>
      <c r="E264" s="240"/>
      <c r="F264" s="167">
        <f t="shared" si="11"/>
        <v>84</v>
      </c>
      <c r="G264" s="200">
        <v>554.4</v>
      </c>
      <c r="H264" s="200">
        <v>46644.5</v>
      </c>
      <c r="I264" s="231" t="s">
        <v>9</v>
      </c>
      <c r="J264" s="231"/>
      <c r="K264" s="231" t="s">
        <v>9</v>
      </c>
      <c r="L264" s="231"/>
      <c r="M264" s="167" t="s">
        <v>9</v>
      </c>
      <c r="N264" s="167" t="s">
        <v>9</v>
      </c>
      <c r="O264" s="167" t="s">
        <v>9</v>
      </c>
      <c r="P264" s="177"/>
      <c r="Q264" s="81" t="s">
        <v>309</v>
      </c>
      <c r="R264" s="81"/>
      <c r="S264" s="89" t="s">
        <v>7</v>
      </c>
      <c r="T264" s="88">
        <f>SUM(T261:T263)</f>
        <v>6962238.4299999997</v>
      </c>
      <c r="U264" s="72">
        <f>SUM(U261:U263)</f>
        <v>0</v>
      </c>
    </row>
    <row r="265" spans="2:21" ht="31.5" customHeight="1">
      <c r="B265" s="167">
        <v>244</v>
      </c>
      <c r="C265" s="167">
        <v>5</v>
      </c>
      <c r="D265" s="239" t="s">
        <v>427</v>
      </c>
      <c r="E265" s="240"/>
      <c r="F265" s="167">
        <f t="shared" ref="F265" si="12">ROUND((H265/G265),0)</f>
        <v>26</v>
      </c>
      <c r="G265" s="200">
        <v>554.4</v>
      </c>
      <c r="H265" s="200">
        <v>14690</v>
      </c>
      <c r="I265" s="231" t="s">
        <v>9</v>
      </c>
      <c r="J265" s="231"/>
      <c r="K265" s="231" t="s">
        <v>9</v>
      </c>
      <c r="L265" s="231"/>
      <c r="M265" s="167" t="s">
        <v>9</v>
      </c>
      <c r="N265" s="167" t="s">
        <v>9</v>
      </c>
      <c r="O265" s="167" t="s">
        <v>9</v>
      </c>
      <c r="P265" s="177"/>
      <c r="Q265" s="81" t="s">
        <v>426</v>
      </c>
      <c r="R265" s="81"/>
      <c r="S265" s="89"/>
      <c r="T265" s="88"/>
    </row>
    <row r="266" spans="2:21" ht="30.75" customHeight="1">
      <c r="B266" s="167">
        <v>244</v>
      </c>
      <c r="C266" s="167">
        <v>6</v>
      </c>
      <c r="D266" s="239" t="s">
        <v>279</v>
      </c>
      <c r="E266" s="240"/>
      <c r="F266" s="167" t="s">
        <v>9</v>
      </c>
      <c r="G266" s="200" t="s">
        <v>9</v>
      </c>
      <c r="H266" s="200">
        <f>SUM(H267:H272)</f>
        <v>219943.18</v>
      </c>
      <c r="I266" s="231" t="s">
        <v>9</v>
      </c>
      <c r="J266" s="231"/>
      <c r="K266" s="231" t="s">
        <v>9</v>
      </c>
      <c r="L266" s="231"/>
      <c r="M266" s="167" t="s">
        <v>9</v>
      </c>
      <c r="N266" s="167" t="s">
        <v>9</v>
      </c>
      <c r="O266" s="167" t="s">
        <v>9</v>
      </c>
      <c r="P266" s="141"/>
      <c r="Q266" s="81" t="s">
        <v>310</v>
      </c>
      <c r="R266" s="81"/>
      <c r="T266" s="72" t="b">
        <f>H278=U266</f>
        <v>1</v>
      </c>
      <c r="U266" s="134">
        <f>T264+U264</f>
        <v>6962238.4299999997</v>
      </c>
    </row>
    <row r="267" spans="2:21" ht="24.75" customHeight="1">
      <c r="B267" s="167">
        <v>244</v>
      </c>
      <c r="C267" s="140" t="s">
        <v>416</v>
      </c>
      <c r="D267" s="237" t="s">
        <v>387</v>
      </c>
      <c r="E267" s="238"/>
      <c r="F267" s="167">
        <v>1</v>
      </c>
      <c r="G267" s="200">
        <v>5000</v>
      </c>
      <c r="H267" s="200">
        <f>F267*G267</f>
        <v>5000</v>
      </c>
      <c r="I267" s="231" t="s">
        <v>9</v>
      </c>
      <c r="J267" s="231"/>
      <c r="K267" s="231" t="s">
        <v>9</v>
      </c>
      <c r="L267" s="231"/>
      <c r="M267" s="167" t="s">
        <v>9</v>
      </c>
      <c r="N267" s="167" t="s">
        <v>9</v>
      </c>
      <c r="O267" s="167" t="s">
        <v>9</v>
      </c>
      <c r="P267" s="141"/>
    </row>
    <row r="268" spans="2:21" ht="26.25" customHeight="1">
      <c r="B268" s="167">
        <v>244</v>
      </c>
      <c r="C268" s="140" t="s">
        <v>428</v>
      </c>
      <c r="D268" s="239" t="s">
        <v>445</v>
      </c>
      <c r="E268" s="240"/>
      <c r="F268" s="167">
        <v>1</v>
      </c>
      <c r="G268" s="200">
        <f>8673+4193.8+8673</f>
        <v>21539.8</v>
      </c>
      <c r="H268" s="200">
        <f>F268*G268</f>
        <v>21539.8</v>
      </c>
      <c r="I268" s="231" t="s">
        <v>9</v>
      </c>
      <c r="J268" s="231"/>
      <c r="K268" s="231" t="s">
        <v>9</v>
      </c>
      <c r="L268" s="231"/>
      <c r="M268" s="203" t="s">
        <v>9</v>
      </c>
      <c r="N268" s="203" t="s">
        <v>9</v>
      </c>
      <c r="O268" s="203" t="s">
        <v>9</v>
      </c>
      <c r="P268" s="141"/>
    </row>
    <row r="269" spans="2:21" ht="21" customHeight="1">
      <c r="B269" s="167">
        <v>244</v>
      </c>
      <c r="C269" s="140" t="s">
        <v>429</v>
      </c>
      <c r="D269" s="237" t="s">
        <v>438</v>
      </c>
      <c r="E269" s="238"/>
      <c r="F269" s="167">
        <v>1</v>
      </c>
      <c r="G269" s="200">
        <v>1300</v>
      </c>
      <c r="H269" s="200">
        <f t="shared" ref="H269:H275" si="13">F269*G269</f>
        <v>1300</v>
      </c>
      <c r="I269" s="231" t="s">
        <v>9</v>
      </c>
      <c r="J269" s="231"/>
      <c r="K269" s="231" t="s">
        <v>9</v>
      </c>
      <c r="L269" s="231"/>
      <c r="M269" s="203" t="s">
        <v>9</v>
      </c>
      <c r="N269" s="203" t="s">
        <v>9</v>
      </c>
      <c r="O269" s="203" t="s">
        <v>9</v>
      </c>
      <c r="P269" s="141"/>
    </row>
    <row r="270" spans="2:21" ht="19.5" customHeight="1">
      <c r="B270" s="167">
        <v>244</v>
      </c>
      <c r="C270" s="140" t="s">
        <v>430</v>
      </c>
      <c r="D270" s="237" t="s">
        <v>404</v>
      </c>
      <c r="E270" s="238"/>
      <c r="F270" s="167">
        <v>1</v>
      </c>
      <c r="G270" s="200">
        <f>79800.04-26730</f>
        <v>53070.039999999994</v>
      </c>
      <c r="H270" s="200">
        <f>F270*G270</f>
        <v>53070.039999999994</v>
      </c>
      <c r="I270" s="231" t="s">
        <v>9</v>
      </c>
      <c r="J270" s="231"/>
      <c r="K270" s="231" t="s">
        <v>9</v>
      </c>
      <c r="L270" s="231"/>
      <c r="M270" s="203" t="s">
        <v>9</v>
      </c>
      <c r="N270" s="203" t="s">
        <v>9</v>
      </c>
      <c r="O270" s="203" t="s">
        <v>9</v>
      </c>
      <c r="P270" s="177"/>
    </row>
    <row r="271" spans="2:21" ht="19.5" customHeight="1">
      <c r="B271" s="203">
        <v>244</v>
      </c>
      <c r="C271" s="140" t="s">
        <v>442</v>
      </c>
      <c r="D271" s="205" t="s">
        <v>443</v>
      </c>
      <c r="E271" s="206"/>
      <c r="F271" s="203">
        <v>1</v>
      </c>
      <c r="G271" s="200">
        <f>45000+59365+64882.55-37714.21</f>
        <v>131533.34</v>
      </c>
      <c r="H271" s="200">
        <f>G271</f>
        <v>131533.34</v>
      </c>
      <c r="I271" s="231" t="s">
        <v>9</v>
      </c>
      <c r="J271" s="231"/>
      <c r="K271" s="231" t="s">
        <v>9</v>
      </c>
      <c r="L271" s="231"/>
      <c r="M271" s="203" t="s">
        <v>9</v>
      </c>
      <c r="N271" s="203" t="s">
        <v>9</v>
      </c>
      <c r="O271" s="203" t="s">
        <v>9</v>
      </c>
      <c r="P271" s="204"/>
    </row>
    <row r="272" spans="2:21" ht="19.5" customHeight="1">
      <c r="B272" s="167">
        <v>244</v>
      </c>
      <c r="C272" s="162" t="s">
        <v>444</v>
      </c>
      <c r="D272" s="237" t="s">
        <v>405</v>
      </c>
      <c r="E272" s="238"/>
      <c r="F272" s="167">
        <v>1</v>
      </c>
      <c r="G272" s="200">
        <v>7500</v>
      </c>
      <c r="H272" s="200">
        <f t="shared" si="13"/>
        <v>7500</v>
      </c>
      <c r="I272" s="231" t="s">
        <v>9</v>
      </c>
      <c r="J272" s="231"/>
      <c r="K272" s="231" t="s">
        <v>9</v>
      </c>
      <c r="L272" s="231"/>
      <c r="M272" s="167" t="s">
        <v>9</v>
      </c>
      <c r="N272" s="167" t="s">
        <v>9</v>
      </c>
      <c r="O272" s="167" t="s">
        <v>9</v>
      </c>
      <c r="P272" s="177"/>
    </row>
    <row r="273" spans="2:20" ht="15.6" customHeight="1">
      <c r="B273" s="167">
        <v>244</v>
      </c>
      <c r="C273" s="167">
        <v>7</v>
      </c>
      <c r="D273" s="239" t="s">
        <v>406</v>
      </c>
      <c r="E273" s="240"/>
      <c r="F273" s="167">
        <v>1</v>
      </c>
      <c r="G273" s="200">
        <v>0</v>
      </c>
      <c r="H273" s="200">
        <f t="shared" si="13"/>
        <v>0</v>
      </c>
      <c r="I273" s="231" t="s">
        <v>9</v>
      </c>
      <c r="J273" s="231"/>
      <c r="K273" s="231" t="s">
        <v>9</v>
      </c>
      <c r="L273" s="231"/>
      <c r="M273" s="167" t="s">
        <v>9</v>
      </c>
      <c r="N273" s="167" t="s">
        <v>9</v>
      </c>
      <c r="O273" s="167" t="s">
        <v>9</v>
      </c>
      <c r="P273" s="141"/>
      <c r="Q273" s="81" t="s">
        <v>311</v>
      </c>
      <c r="R273" s="81"/>
    </row>
    <row r="274" spans="2:20" ht="53.25" hidden="1" customHeight="1">
      <c r="B274" s="167">
        <v>244</v>
      </c>
      <c r="C274" s="167" t="s">
        <v>431</v>
      </c>
      <c r="D274" s="239" t="s">
        <v>264</v>
      </c>
      <c r="E274" s="240"/>
      <c r="F274" s="167">
        <v>1</v>
      </c>
      <c r="G274" s="200"/>
      <c r="H274" s="200">
        <f>G274</f>
        <v>0</v>
      </c>
      <c r="I274" s="231" t="s">
        <v>9</v>
      </c>
      <c r="J274" s="231"/>
      <c r="K274" s="231" t="s">
        <v>9</v>
      </c>
      <c r="L274" s="231"/>
      <c r="M274" s="167" t="s">
        <v>9</v>
      </c>
      <c r="N274" s="167" t="s">
        <v>9</v>
      </c>
      <c r="O274" s="167" t="s">
        <v>9</v>
      </c>
      <c r="P274" s="141"/>
      <c r="Q274" s="81"/>
      <c r="R274" s="81"/>
    </row>
    <row r="275" spans="2:20" ht="21" hidden="1" customHeight="1">
      <c r="B275" s="167">
        <v>244</v>
      </c>
      <c r="C275" s="167" t="s">
        <v>366</v>
      </c>
      <c r="D275" s="237"/>
      <c r="E275" s="238"/>
      <c r="F275" s="167">
        <v>1</v>
      </c>
      <c r="G275" s="167"/>
      <c r="H275" s="192">
        <f t="shared" si="13"/>
        <v>0</v>
      </c>
      <c r="I275" s="231" t="s">
        <v>9</v>
      </c>
      <c r="J275" s="231"/>
      <c r="K275" s="231" t="s">
        <v>9</v>
      </c>
      <c r="L275" s="231"/>
      <c r="M275" s="167" t="s">
        <v>9</v>
      </c>
      <c r="N275" s="167" t="s">
        <v>9</v>
      </c>
      <c r="O275" s="167" t="s">
        <v>9</v>
      </c>
      <c r="P275" s="141"/>
      <c r="Q275" s="81"/>
      <c r="R275" s="81"/>
    </row>
    <row r="276" spans="2:20" ht="22.5" hidden="1" customHeight="1">
      <c r="B276" s="167">
        <v>244</v>
      </c>
      <c r="C276" s="167" t="s">
        <v>280</v>
      </c>
      <c r="D276" s="237" t="s">
        <v>370</v>
      </c>
      <c r="E276" s="238"/>
      <c r="F276" s="167">
        <v>1</v>
      </c>
      <c r="G276" s="167"/>
      <c r="H276" s="192">
        <v>0</v>
      </c>
      <c r="I276" s="231" t="s">
        <v>9</v>
      </c>
      <c r="J276" s="231"/>
      <c r="K276" s="231" t="s">
        <v>9</v>
      </c>
      <c r="L276" s="231"/>
      <c r="M276" s="167" t="s">
        <v>9</v>
      </c>
      <c r="N276" s="167" t="s">
        <v>9</v>
      </c>
      <c r="O276" s="167" t="s">
        <v>9</v>
      </c>
      <c r="P276" s="141"/>
      <c r="Q276" s="81"/>
      <c r="R276" s="81"/>
    </row>
    <row r="277" spans="2:20" ht="22.5" hidden="1" customHeight="1">
      <c r="B277" s="167">
        <v>244</v>
      </c>
      <c r="C277" s="167" t="s">
        <v>371</v>
      </c>
      <c r="D277" s="237" t="s">
        <v>346</v>
      </c>
      <c r="E277" s="238"/>
      <c r="F277" s="167">
        <v>1</v>
      </c>
      <c r="G277" s="167"/>
      <c r="H277" s="192">
        <v>0</v>
      </c>
      <c r="I277" s="229" t="s">
        <v>345</v>
      </c>
      <c r="J277" s="230"/>
      <c r="K277" s="229" t="s">
        <v>345</v>
      </c>
      <c r="L277" s="230"/>
      <c r="M277" s="167" t="s">
        <v>9</v>
      </c>
      <c r="N277" s="167" t="s">
        <v>345</v>
      </c>
      <c r="O277" s="167" t="s">
        <v>345</v>
      </c>
      <c r="P277" s="141"/>
      <c r="Q277" s="81"/>
      <c r="R277" s="81"/>
    </row>
    <row r="278" spans="2:20" ht="15.75" customHeight="1">
      <c r="B278" s="145"/>
      <c r="C278" s="233" t="s">
        <v>23</v>
      </c>
      <c r="D278" s="234"/>
      <c r="E278" s="235"/>
      <c r="F278" s="189" t="s">
        <v>9</v>
      </c>
      <c r="G278" s="189" t="s">
        <v>9</v>
      </c>
      <c r="H278" s="202">
        <f>H262+H263+H264+H266+H261+H274+H265</f>
        <v>6962238.4299999997</v>
      </c>
      <c r="I278" s="236">
        <f>T261</f>
        <v>955975.25</v>
      </c>
      <c r="J278" s="236"/>
      <c r="K278" s="236">
        <f>T263</f>
        <v>8800</v>
      </c>
      <c r="L278" s="236"/>
      <c r="M278" s="200" t="s">
        <v>9</v>
      </c>
      <c r="N278" s="202">
        <f>T262+U262</f>
        <v>5997463.1799999997</v>
      </c>
      <c r="O278" s="195">
        <v>0</v>
      </c>
      <c r="P278" s="137"/>
      <c r="Q278" s="81" t="s">
        <v>304</v>
      </c>
      <c r="R278" s="81"/>
      <c r="S278" s="68">
        <f>SUM(I278:N278)</f>
        <v>6962238.4299999997</v>
      </c>
      <c r="T278" s="68">
        <f>S278-H278</f>
        <v>0</v>
      </c>
    </row>
    <row r="279" spans="2:20" ht="15.75" customHeight="1">
      <c r="B279" s="74"/>
      <c r="C279" s="74"/>
      <c r="D279" s="74"/>
      <c r="E279" s="74"/>
      <c r="F279" s="74"/>
      <c r="G279" s="104"/>
      <c r="H279" s="104"/>
      <c r="I279" s="74"/>
      <c r="J279" s="74"/>
      <c r="K279" s="74"/>
      <c r="L279" s="74"/>
      <c r="M279" s="74"/>
      <c r="N279" s="74"/>
      <c r="O279" s="74"/>
      <c r="P279" s="74"/>
      <c r="S279" s="72" t="b">
        <f>S278=H278</f>
        <v>1</v>
      </c>
    </row>
    <row r="280" spans="2:20" ht="15" customHeight="1"/>
    <row r="281" spans="2:20" ht="15" customHeight="1"/>
    <row r="282" spans="2:20" ht="15" customHeight="1">
      <c r="S282" s="134"/>
    </row>
    <row r="283" spans="2:20" ht="15" customHeight="1"/>
    <row r="284" spans="2:20" ht="15" customHeight="1">
      <c r="D284" s="134">
        <f>F284-H284</f>
        <v>0</v>
      </c>
      <c r="E284" s="89" t="s">
        <v>312</v>
      </c>
      <c r="F284" s="82">
        <f>L17+G26+I35+I44+H59+H70+I82+F91+F102+H113+H122+I134+H143+J156+H183+H210+H219+H228+I278+H253</f>
        <v>28608653.389999997</v>
      </c>
      <c r="G284" s="72" t="b">
        <f>F284=H284</f>
        <v>1</v>
      </c>
      <c r="H284" s="88">
        <f>'Раздел 1'!D15+'Раздел 1'!D27</f>
        <v>28608653.390000001</v>
      </c>
      <c r="I284" s="163" t="s">
        <v>318</v>
      </c>
      <c r="J284" s="72">
        <v>111</v>
      </c>
      <c r="K284" s="68">
        <f>K17+E26</f>
        <v>19239605.57</v>
      </c>
      <c r="L284" s="72">
        <f>'Раздел 1'!D30</f>
        <v>19239605.57</v>
      </c>
      <c r="M284" s="72" t="b">
        <f>K284=L284</f>
        <v>1</v>
      </c>
      <c r="N284" s="68">
        <f>L284-K284</f>
        <v>0</v>
      </c>
    </row>
    <row r="285" spans="2:20" ht="15" customHeight="1">
      <c r="D285" s="134">
        <f t="shared" ref="D285" si="14">F285-H285</f>
        <v>0</v>
      </c>
      <c r="E285" s="89" t="s">
        <v>305</v>
      </c>
      <c r="F285" s="82">
        <f>M17+I26+K35+K44+J59+J70+K82+H91+H102+J113+J122+K134+J143+L156+J183+J210+J219+J228+K278+J253</f>
        <v>651540.98</v>
      </c>
      <c r="G285" s="72" t="b">
        <f>F285=H285</f>
        <v>1</v>
      </c>
      <c r="H285" s="89">
        <f>'Раздел 1'!D20</f>
        <v>651540.98</v>
      </c>
      <c r="J285" s="72">
        <v>112</v>
      </c>
      <c r="K285" s="134">
        <f>H35</f>
        <v>3000</v>
      </c>
      <c r="L285" s="68">
        <f>'Раздел 1'!D31</f>
        <v>29814.2</v>
      </c>
      <c r="M285" s="72" t="b">
        <f t="shared" ref="M285:M293" si="15">K285=L285</f>
        <v>0</v>
      </c>
      <c r="N285" s="68">
        <f>L285-K285</f>
        <v>26814.2</v>
      </c>
    </row>
    <row r="286" spans="2:20" ht="15" customHeight="1">
      <c r="D286" s="134">
        <f>F286-H286</f>
        <v>0</v>
      </c>
      <c r="E286" s="89" t="s">
        <v>292</v>
      </c>
      <c r="F286" s="88">
        <f>O17+L26+N35+N44+M59+M70+N82+K91+K102+N113+N122+N134+M143+O156+M183+M210+M219+M228+N278+M253</f>
        <v>6703395.8099999996</v>
      </c>
      <c r="G286" s="72" t="b">
        <f>F286=H286</f>
        <v>1</v>
      </c>
      <c r="H286" s="88">
        <f>'Раздел 1'!D16+F292-'Раздел 1'!D10</f>
        <v>6703395.8100000015</v>
      </c>
      <c r="J286" s="72">
        <v>113</v>
      </c>
      <c r="K286" s="72">
        <f>H44</f>
        <v>0</v>
      </c>
      <c r="L286" s="72">
        <f>'Раздел 1'!D32</f>
        <v>0</v>
      </c>
      <c r="M286" s="72" t="b">
        <f t="shared" si="15"/>
        <v>1</v>
      </c>
      <c r="N286" s="68">
        <f t="shared" ref="N286:N293" si="16">L286-K286</f>
        <v>0</v>
      </c>
      <c r="Q286" s="68"/>
    </row>
    <row r="287" spans="2:20" ht="15" customHeight="1">
      <c r="D287" s="134" t="s">
        <v>365</v>
      </c>
      <c r="E287" s="89" t="s">
        <v>7</v>
      </c>
      <c r="F287" s="83">
        <f>SUM(F284:F286)</f>
        <v>35963590.18</v>
      </c>
      <c r="G287" s="83">
        <f t="shared" ref="G287:H287" si="17">SUM(G284:G286)</f>
        <v>0</v>
      </c>
      <c r="H287" s="83">
        <f t="shared" si="17"/>
        <v>35963590.18</v>
      </c>
      <c r="J287" s="72">
        <v>119</v>
      </c>
      <c r="K287" s="134">
        <f>G59</f>
        <v>5713268.8200000003</v>
      </c>
      <c r="L287" s="68">
        <f>'Раздел 1'!D33</f>
        <v>5713268.8200000003</v>
      </c>
      <c r="M287" s="72" t="b">
        <f t="shared" si="15"/>
        <v>1</v>
      </c>
      <c r="N287" s="68">
        <f t="shared" si="16"/>
        <v>0</v>
      </c>
    </row>
    <row r="288" spans="2:20" ht="15" customHeight="1">
      <c r="J288" s="72">
        <v>851</v>
      </c>
      <c r="K288" s="134">
        <f>H82</f>
        <v>304319</v>
      </c>
      <c r="L288" s="72">
        <f>'Раздел 1'!D44</f>
        <v>304319</v>
      </c>
      <c r="M288" s="72" t="b">
        <f t="shared" si="15"/>
        <v>1</v>
      </c>
      <c r="N288" s="68">
        <f t="shared" si="16"/>
        <v>0</v>
      </c>
    </row>
    <row r="289" spans="5:14" ht="15" customHeight="1">
      <c r="J289" s="72">
        <v>852</v>
      </c>
      <c r="K289" s="134">
        <f>E91</f>
        <v>0</v>
      </c>
      <c r="L289" s="72">
        <f>'Раздел 1'!D45</f>
        <v>0</v>
      </c>
      <c r="M289" s="72" t="b">
        <f t="shared" si="15"/>
        <v>1</v>
      </c>
      <c r="N289" s="68">
        <f t="shared" si="16"/>
        <v>0</v>
      </c>
    </row>
    <row r="290" spans="5:14" ht="15" customHeight="1">
      <c r="J290" s="72">
        <v>853</v>
      </c>
      <c r="K290" s="134">
        <f>E102</f>
        <v>0</v>
      </c>
      <c r="L290" s="72">
        <f>'Раздел 1'!D46</f>
        <v>0</v>
      </c>
      <c r="M290" s="72" t="b">
        <f t="shared" si="15"/>
        <v>1</v>
      </c>
      <c r="N290" s="68">
        <f t="shared" si="16"/>
        <v>0</v>
      </c>
    </row>
    <row r="291" spans="5:14" ht="15" customHeight="1">
      <c r="J291" s="72">
        <v>243</v>
      </c>
      <c r="K291" s="134">
        <f>G113+G122</f>
        <v>0</v>
      </c>
      <c r="M291" s="72" t="b">
        <f t="shared" si="15"/>
        <v>1</v>
      </c>
      <c r="N291" s="68">
        <f t="shared" si="16"/>
        <v>0</v>
      </c>
    </row>
    <row r="292" spans="5:14" ht="15" customHeight="1">
      <c r="E292" s="163" t="s">
        <v>326</v>
      </c>
      <c r="F292" s="116">
        <f>'Раздел 1'!D9</f>
        <v>154068.51</v>
      </c>
      <c r="J292" s="72">
        <v>244</v>
      </c>
      <c r="K292" s="68">
        <f>H134+G143+I156+G183+G210+G219+G228+H278+G253</f>
        <v>10703396.789999999</v>
      </c>
      <c r="L292" s="68">
        <f>'Раздел 1'!D54</f>
        <v>10676582.59</v>
      </c>
      <c r="M292" s="72" t="b">
        <f t="shared" si="15"/>
        <v>0</v>
      </c>
      <c r="N292" s="68">
        <f t="shared" si="16"/>
        <v>-26814.199999999255</v>
      </c>
    </row>
    <row r="293" spans="5:14" ht="15" customHeight="1">
      <c r="J293" s="72" t="s">
        <v>319</v>
      </c>
      <c r="K293" s="68">
        <f>SUM(K284:K292)</f>
        <v>35963590.18</v>
      </c>
      <c r="L293" s="68">
        <f>SUM(L284:L292)</f>
        <v>35963590.18</v>
      </c>
      <c r="M293" s="72" t="b">
        <f t="shared" si="15"/>
        <v>1</v>
      </c>
      <c r="N293" s="68">
        <f t="shared" si="16"/>
        <v>0</v>
      </c>
    </row>
    <row r="294" spans="5:14" ht="15" customHeight="1">
      <c r="K294" s="72" t="b">
        <f>F287=K293</f>
        <v>1</v>
      </c>
    </row>
    <row r="295" spans="5:14" ht="15" customHeight="1">
      <c r="K295" s="72" t="b">
        <f>K293=H287</f>
        <v>1</v>
      </c>
    </row>
    <row r="296" spans="5:14" ht="15" customHeight="1"/>
    <row r="297" spans="5:14" ht="15" customHeight="1"/>
    <row r="298" spans="5:14" ht="15" customHeight="1"/>
    <row r="299" spans="5:14" ht="15" customHeight="1"/>
    <row r="300" spans="5:14" ht="15" customHeight="1"/>
    <row r="301" spans="5:14" ht="15" customHeight="1"/>
    <row r="302" spans="5:14" ht="15" customHeight="1"/>
    <row r="303" spans="5:14" ht="15" customHeight="1"/>
    <row r="304" spans="5:1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  <row r="399762" ht="15" customHeight="1"/>
    <row r="399763" ht="15" customHeight="1"/>
    <row r="399764" ht="15" customHeight="1"/>
    <row r="399765" ht="15" customHeight="1"/>
    <row r="399766" ht="15" customHeight="1"/>
    <row r="399767" ht="15" customHeight="1"/>
    <row r="399768" ht="15" customHeight="1"/>
    <row r="399769" ht="15" customHeight="1"/>
    <row r="399770" ht="15" customHeight="1"/>
    <row r="399771" ht="15" customHeight="1"/>
    <row r="399772" ht="15" customHeight="1"/>
    <row r="399773" ht="15" customHeight="1"/>
    <row r="399774" ht="15" customHeight="1"/>
    <row r="399775" ht="15" customHeight="1"/>
    <row r="399776" ht="15" customHeight="1"/>
    <row r="399777" ht="15" customHeight="1"/>
    <row r="399778" ht="15" customHeight="1"/>
    <row r="399779" ht="15" customHeight="1"/>
  </sheetData>
  <mergeCells count="576">
    <mergeCell ref="H251:I251"/>
    <mergeCell ref="H241:I241"/>
    <mergeCell ref="H242:I242"/>
    <mergeCell ref="J241:K241"/>
    <mergeCell ref="J242:K242"/>
    <mergeCell ref="J251:K251"/>
    <mergeCell ref="I271:J271"/>
    <mergeCell ref="K271:L271"/>
    <mergeCell ref="J237:K237"/>
    <mergeCell ref="J238:K238"/>
    <mergeCell ref="J239:K239"/>
    <mergeCell ref="J240:K240"/>
    <mergeCell ref="J243:K243"/>
    <mergeCell ref="J244:K244"/>
    <mergeCell ref="H204:I204"/>
    <mergeCell ref="J204:K204"/>
    <mergeCell ref="B230:N230"/>
    <mergeCell ref="B232:B234"/>
    <mergeCell ref="C232:C234"/>
    <mergeCell ref="D232:D234"/>
    <mergeCell ref="E232:E234"/>
    <mergeCell ref="F232:F234"/>
    <mergeCell ref="H232:N232"/>
    <mergeCell ref="G233:G234"/>
    <mergeCell ref="H233:I234"/>
    <mergeCell ref="J233:K234"/>
    <mergeCell ref="L233:L234"/>
    <mergeCell ref="M233:N233"/>
    <mergeCell ref="H235:I235"/>
    <mergeCell ref="J235:K235"/>
    <mergeCell ref="C210:D210"/>
    <mergeCell ref="H210:I210"/>
    <mergeCell ref="H51:I51"/>
    <mergeCell ref="J51:K51"/>
    <mergeCell ref="H52:I52"/>
    <mergeCell ref="J52:K52"/>
    <mergeCell ref="C46:N46"/>
    <mergeCell ref="C17:D17"/>
    <mergeCell ref="C19:N19"/>
    <mergeCell ref="C37:N37"/>
    <mergeCell ref="B39:B41"/>
    <mergeCell ref="C39:C41"/>
    <mergeCell ref="D39:D41"/>
    <mergeCell ref="B30:B32"/>
    <mergeCell ref="I31:J32"/>
    <mergeCell ref="K31:L32"/>
    <mergeCell ref="M31:M32"/>
    <mergeCell ref="N31:O31"/>
    <mergeCell ref="I34:J34"/>
    <mergeCell ref="K34:L34"/>
    <mergeCell ref="I35:J35"/>
    <mergeCell ref="K35:L35"/>
    <mergeCell ref="E39:E41"/>
    <mergeCell ref="F39:F41"/>
    <mergeCell ref="B21:B23"/>
    <mergeCell ref="C21:C23"/>
    <mergeCell ref="D21:D23"/>
    <mergeCell ref="E21:F23"/>
    <mergeCell ref="G21:M21"/>
    <mergeCell ref="G22:H23"/>
    <mergeCell ref="I22:J23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F10:F11"/>
    <mergeCell ref="G10:I10"/>
    <mergeCell ref="K10:K11"/>
    <mergeCell ref="L10:L11"/>
    <mergeCell ref="M10:M11"/>
    <mergeCell ref="N10:N11"/>
    <mergeCell ref="Q31:S31"/>
    <mergeCell ref="I33:J33"/>
    <mergeCell ref="K33:L33"/>
    <mergeCell ref="C28:N28"/>
    <mergeCell ref="E25:F25"/>
    <mergeCell ref="G25:H25"/>
    <mergeCell ref="I25:J25"/>
    <mergeCell ref="N22:O22"/>
    <mergeCell ref="E24:F24"/>
    <mergeCell ref="G24:H24"/>
    <mergeCell ref="I24:J24"/>
    <mergeCell ref="C26:D26"/>
    <mergeCell ref="E26:F26"/>
    <mergeCell ref="G26:H26"/>
    <mergeCell ref="I26:J26"/>
    <mergeCell ref="K22:K23"/>
    <mergeCell ref="L22:M22"/>
    <mergeCell ref="C30:C32"/>
    <mergeCell ref="D30:D32"/>
    <mergeCell ref="E30:E32"/>
    <mergeCell ref="F30:F32"/>
    <mergeCell ref="G30:G32"/>
    <mergeCell ref="I30:O30"/>
    <mergeCell ref="H31:H32"/>
    <mergeCell ref="Q40:S40"/>
    <mergeCell ref="I42:J42"/>
    <mergeCell ref="K42:L42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L49:L50"/>
    <mergeCell ref="M49:N49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95:B97"/>
    <mergeCell ref="C95:C97"/>
    <mergeCell ref="D95:D97"/>
    <mergeCell ref="E95:E97"/>
    <mergeCell ref="F95:L95"/>
    <mergeCell ref="F99:G99"/>
    <mergeCell ref="H99:I99"/>
    <mergeCell ref="F102:G102"/>
    <mergeCell ref="H102:I102"/>
    <mergeCell ref="C104:M104"/>
    <mergeCell ref="C106:M106"/>
    <mergeCell ref="F96:G97"/>
    <mergeCell ref="H96:I97"/>
    <mergeCell ref="J96:J97"/>
    <mergeCell ref="K96:L96"/>
    <mergeCell ref="N109:O109"/>
    <mergeCell ref="H111:I111"/>
    <mergeCell ref="J111:K111"/>
    <mergeCell ref="L111:M111"/>
    <mergeCell ref="F101:G101"/>
    <mergeCell ref="H101:I101"/>
    <mergeCell ref="F100:G100"/>
    <mergeCell ref="H100:I100"/>
    <mergeCell ref="H112:I112"/>
    <mergeCell ref="J112:K112"/>
    <mergeCell ref="L112:M112"/>
    <mergeCell ref="B108:B110"/>
    <mergeCell ref="C108:C110"/>
    <mergeCell ref="D108:D110"/>
    <mergeCell ref="E108:E110"/>
    <mergeCell ref="F108:F110"/>
    <mergeCell ref="H108:O108"/>
    <mergeCell ref="G109:G110"/>
    <mergeCell ref="H109:I110"/>
    <mergeCell ref="J109:K110"/>
    <mergeCell ref="L109:M110"/>
    <mergeCell ref="N118:O118"/>
    <mergeCell ref="H120:I120"/>
    <mergeCell ref="J120:K120"/>
    <mergeCell ref="L120:M120"/>
    <mergeCell ref="H113:I113"/>
    <mergeCell ref="J113:K113"/>
    <mergeCell ref="L113:M113"/>
    <mergeCell ref="C115:M115"/>
    <mergeCell ref="B117:B119"/>
    <mergeCell ref="C117:C119"/>
    <mergeCell ref="D117:D119"/>
    <mergeCell ref="E117:E119"/>
    <mergeCell ref="F117:F119"/>
    <mergeCell ref="H117:O117"/>
    <mergeCell ref="H121:I121"/>
    <mergeCell ref="J121:K121"/>
    <mergeCell ref="L121:M121"/>
    <mergeCell ref="H122:I122"/>
    <mergeCell ref="J122:K122"/>
    <mergeCell ref="L122:M122"/>
    <mergeCell ref="G118:G119"/>
    <mergeCell ref="H118:I119"/>
    <mergeCell ref="J118:K119"/>
    <mergeCell ref="L118:M119"/>
    <mergeCell ref="N128:O128"/>
    <mergeCell ref="I130:J130"/>
    <mergeCell ref="K130:L130"/>
    <mergeCell ref="E123:M123"/>
    <mergeCell ref="E125:M125"/>
    <mergeCell ref="B127:B129"/>
    <mergeCell ref="C127:C129"/>
    <mergeCell ref="D127:D129"/>
    <mergeCell ref="E127:E129"/>
    <mergeCell ref="F127:F129"/>
    <mergeCell ref="G127:G129"/>
    <mergeCell ref="I127:O127"/>
    <mergeCell ref="H128:H129"/>
    <mergeCell ref="I131:J131"/>
    <mergeCell ref="K131:L131"/>
    <mergeCell ref="I132:J132"/>
    <mergeCell ref="K132:L132"/>
    <mergeCell ref="I134:J134"/>
    <mergeCell ref="K134:L134"/>
    <mergeCell ref="I128:J129"/>
    <mergeCell ref="K128:L129"/>
    <mergeCell ref="M128:M129"/>
    <mergeCell ref="I133:J133"/>
    <mergeCell ref="K133:L133"/>
    <mergeCell ref="L139:L140"/>
    <mergeCell ref="M139:N139"/>
    <mergeCell ref="H141:I141"/>
    <mergeCell ref="J141:K141"/>
    <mergeCell ref="H142:I142"/>
    <mergeCell ref="J142:K142"/>
    <mergeCell ref="E136:M136"/>
    <mergeCell ref="B138:B140"/>
    <mergeCell ref="C138:C140"/>
    <mergeCell ref="D138:D140"/>
    <mergeCell ref="E138:E140"/>
    <mergeCell ref="F138:F140"/>
    <mergeCell ref="H138:N138"/>
    <mergeCell ref="G139:G140"/>
    <mergeCell ref="H139:I140"/>
    <mergeCell ref="J139:K140"/>
    <mergeCell ref="H143:I143"/>
    <mergeCell ref="J143:K143"/>
    <mergeCell ref="E145:M145"/>
    <mergeCell ref="B147:B149"/>
    <mergeCell ref="C147:C149"/>
    <mergeCell ref="D147:E149"/>
    <mergeCell ref="F147:F149"/>
    <mergeCell ref="G147:G149"/>
    <mergeCell ref="H147:H149"/>
    <mergeCell ref="J147:P147"/>
    <mergeCell ref="I148:I149"/>
    <mergeCell ref="J148:K149"/>
    <mergeCell ref="L148:M149"/>
    <mergeCell ref="D154:E154"/>
    <mergeCell ref="J154:K154"/>
    <mergeCell ref="L154:M154"/>
    <mergeCell ref="N148:N149"/>
    <mergeCell ref="O148:P148"/>
    <mergeCell ref="D150:E150"/>
    <mergeCell ref="J150:K150"/>
    <mergeCell ref="L150:M150"/>
    <mergeCell ref="D155:E155"/>
    <mergeCell ref="J155:K155"/>
    <mergeCell ref="L155:M155"/>
    <mergeCell ref="D152:E152"/>
    <mergeCell ref="J152:K152"/>
    <mergeCell ref="L152:M152"/>
    <mergeCell ref="D151:E151"/>
    <mergeCell ref="J151:K151"/>
    <mergeCell ref="L151:M151"/>
    <mergeCell ref="D153:E153"/>
    <mergeCell ref="J153:K153"/>
    <mergeCell ref="L153:M153"/>
    <mergeCell ref="C156:E156"/>
    <mergeCell ref="J156:K156"/>
    <mergeCell ref="L156:M156"/>
    <mergeCell ref="C158:M158"/>
    <mergeCell ref="B160:B162"/>
    <mergeCell ref="C160:C162"/>
    <mergeCell ref="D160:D162"/>
    <mergeCell ref="E160:E162"/>
    <mergeCell ref="F160:F162"/>
    <mergeCell ref="H160:N160"/>
    <mergeCell ref="H164:I164"/>
    <mergeCell ref="J164:K164"/>
    <mergeCell ref="H165:I165"/>
    <mergeCell ref="J165:K165"/>
    <mergeCell ref="G161:G162"/>
    <mergeCell ref="H161:I162"/>
    <mergeCell ref="J161:K162"/>
    <mergeCell ref="L161:L162"/>
    <mergeCell ref="M161:N161"/>
    <mergeCell ref="H163:I163"/>
    <mergeCell ref="J163:K163"/>
    <mergeCell ref="H176:I176"/>
    <mergeCell ref="J176:K176"/>
    <mergeCell ref="H180:I180"/>
    <mergeCell ref="J180:K180"/>
    <mergeCell ref="H181:I181"/>
    <mergeCell ref="J181:K181"/>
    <mergeCell ref="H182:I182"/>
    <mergeCell ref="J182:K182"/>
    <mergeCell ref="C183:D183"/>
    <mergeCell ref="H183:I183"/>
    <mergeCell ref="J183:K183"/>
    <mergeCell ref="H177:I177"/>
    <mergeCell ref="J177:K177"/>
    <mergeCell ref="H178:I178"/>
    <mergeCell ref="J178:K178"/>
    <mergeCell ref="H179:I179"/>
    <mergeCell ref="J179:K179"/>
    <mergeCell ref="L188:L189"/>
    <mergeCell ref="M188:N188"/>
    <mergeCell ref="H190:I190"/>
    <mergeCell ref="J190:K190"/>
    <mergeCell ref="H191:I191"/>
    <mergeCell ref="J191:K191"/>
    <mergeCell ref="C185:M185"/>
    <mergeCell ref="B187:B189"/>
    <mergeCell ref="C187:C189"/>
    <mergeCell ref="D187:D189"/>
    <mergeCell ref="E187:E189"/>
    <mergeCell ref="F187:F189"/>
    <mergeCell ref="H187:N187"/>
    <mergeCell ref="G188:G189"/>
    <mergeCell ref="H188:I189"/>
    <mergeCell ref="J188:K189"/>
    <mergeCell ref="J210:K210"/>
    <mergeCell ref="H205:I205"/>
    <mergeCell ref="J205:K205"/>
    <mergeCell ref="H206:I206"/>
    <mergeCell ref="J206:K206"/>
    <mergeCell ref="H207:I207"/>
    <mergeCell ref="J207:K207"/>
    <mergeCell ref="H208:I208"/>
    <mergeCell ref="J208:K208"/>
    <mergeCell ref="L215:L216"/>
    <mergeCell ref="M215:N215"/>
    <mergeCell ref="H217:I217"/>
    <mergeCell ref="J217:K217"/>
    <mergeCell ref="H218:I218"/>
    <mergeCell ref="J218:K218"/>
    <mergeCell ref="C212:M212"/>
    <mergeCell ref="B214:B216"/>
    <mergeCell ref="C214:C216"/>
    <mergeCell ref="D214:D216"/>
    <mergeCell ref="E214:E216"/>
    <mergeCell ref="F214:F216"/>
    <mergeCell ref="H214:N214"/>
    <mergeCell ref="G215:G216"/>
    <mergeCell ref="H215:I216"/>
    <mergeCell ref="J215:K216"/>
    <mergeCell ref="C219:D219"/>
    <mergeCell ref="H219:I219"/>
    <mergeCell ref="J219:K219"/>
    <mergeCell ref="C221:M221"/>
    <mergeCell ref="B223:B225"/>
    <mergeCell ref="C223:C225"/>
    <mergeCell ref="D223:D225"/>
    <mergeCell ref="E223:E225"/>
    <mergeCell ref="F223:F225"/>
    <mergeCell ref="H223:N223"/>
    <mergeCell ref="C228:D228"/>
    <mergeCell ref="H228:I228"/>
    <mergeCell ref="J228:K228"/>
    <mergeCell ref="G224:G225"/>
    <mergeCell ref="H224:I225"/>
    <mergeCell ref="J224:K225"/>
    <mergeCell ref="B257:B259"/>
    <mergeCell ref="C257:C259"/>
    <mergeCell ref="D257:E259"/>
    <mergeCell ref="F257:F259"/>
    <mergeCell ref="G257:G259"/>
    <mergeCell ref="I257:O257"/>
    <mergeCell ref="H258:H259"/>
    <mergeCell ref="I258:J259"/>
    <mergeCell ref="K258:L259"/>
    <mergeCell ref="M258:M259"/>
    <mergeCell ref="N258:O258"/>
    <mergeCell ref="L224:L225"/>
    <mergeCell ref="M224:N224"/>
    <mergeCell ref="H226:I226"/>
    <mergeCell ref="J226:K226"/>
    <mergeCell ref="H227:I227"/>
    <mergeCell ref="C256:M256"/>
    <mergeCell ref="C253:D253"/>
    <mergeCell ref="D260:E260"/>
    <mergeCell ref="I260:J260"/>
    <mergeCell ref="K260:L260"/>
    <mergeCell ref="D261:E261"/>
    <mergeCell ref="I261:J261"/>
    <mergeCell ref="K261:L261"/>
    <mergeCell ref="D264:E264"/>
    <mergeCell ref="I264:J264"/>
    <mergeCell ref="K264:L264"/>
    <mergeCell ref="D266:E266"/>
    <mergeCell ref="I266:J266"/>
    <mergeCell ref="K266:L266"/>
    <mergeCell ref="D262:E262"/>
    <mergeCell ref="I262:J262"/>
    <mergeCell ref="K262:L262"/>
    <mergeCell ref="D263:E263"/>
    <mergeCell ref="I263:J263"/>
    <mergeCell ref="K263:L263"/>
    <mergeCell ref="D265:E265"/>
    <mergeCell ref="I265:J265"/>
    <mergeCell ref="K265:L265"/>
    <mergeCell ref="D269:E269"/>
    <mergeCell ref="I269:J269"/>
    <mergeCell ref="K269:L269"/>
    <mergeCell ref="D270:E270"/>
    <mergeCell ref="I270:J270"/>
    <mergeCell ref="K270:L270"/>
    <mergeCell ref="D267:E267"/>
    <mergeCell ref="I267:J267"/>
    <mergeCell ref="K267:L267"/>
    <mergeCell ref="D268:E268"/>
    <mergeCell ref="I268:J268"/>
    <mergeCell ref="K268:L268"/>
    <mergeCell ref="K273:L273"/>
    <mergeCell ref="C278:E278"/>
    <mergeCell ref="I278:J278"/>
    <mergeCell ref="K278:L278"/>
    <mergeCell ref="D272:E272"/>
    <mergeCell ref="I272:J272"/>
    <mergeCell ref="K272:L272"/>
    <mergeCell ref="I274:J274"/>
    <mergeCell ref="K274:L274"/>
    <mergeCell ref="D274:E274"/>
    <mergeCell ref="D277:E277"/>
    <mergeCell ref="I277:J277"/>
    <mergeCell ref="K277:L277"/>
    <mergeCell ref="D276:E276"/>
    <mergeCell ref="D275:E275"/>
    <mergeCell ref="I275:J275"/>
    <mergeCell ref="I276:J276"/>
    <mergeCell ref="K275:L275"/>
    <mergeCell ref="K276:L276"/>
    <mergeCell ref="D273:E273"/>
    <mergeCell ref="I273:J273"/>
    <mergeCell ref="H195:I195"/>
    <mergeCell ref="J195:K195"/>
    <mergeCell ref="H196:I196"/>
    <mergeCell ref="J196:K196"/>
    <mergeCell ref="H197:I197"/>
    <mergeCell ref="J197:K197"/>
    <mergeCell ref="H192:I192"/>
    <mergeCell ref="J192:K192"/>
    <mergeCell ref="H193:I193"/>
    <mergeCell ref="J193:K193"/>
    <mergeCell ref="H194:I194"/>
    <mergeCell ref="J194:K194"/>
    <mergeCell ref="J198:K198"/>
    <mergeCell ref="H203:I203"/>
    <mergeCell ref="J203:K203"/>
    <mergeCell ref="H199:I199"/>
    <mergeCell ref="J199:K199"/>
    <mergeCell ref="H202:I202"/>
    <mergeCell ref="J202:K202"/>
    <mergeCell ref="H201:I201"/>
    <mergeCell ref="J201:K201"/>
    <mergeCell ref="H200:I200"/>
    <mergeCell ref="J200:K200"/>
    <mergeCell ref="H236:I236"/>
    <mergeCell ref="J236:K236"/>
    <mergeCell ref="J253:K253"/>
    <mergeCell ref="H253:I253"/>
    <mergeCell ref="H250:I250"/>
    <mergeCell ref="J250:K250"/>
    <mergeCell ref="H248:I248"/>
    <mergeCell ref="H247:I247"/>
    <mergeCell ref="H245:I245"/>
    <mergeCell ref="H246:I246"/>
    <mergeCell ref="J245:K245"/>
    <mergeCell ref="J246:K246"/>
    <mergeCell ref="J247:K247"/>
    <mergeCell ref="J248:K248"/>
    <mergeCell ref="H252:I252"/>
    <mergeCell ref="J252:K252"/>
    <mergeCell ref="H249:I249"/>
    <mergeCell ref="J249:K249"/>
    <mergeCell ref="H237:I237"/>
    <mergeCell ref="H238:I238"/>
    <mergeCell ref="H239:I239"/>
    <mergeCell ref="H240:I240"/>
    <mergeCell ref="H243:I243"/>
    <mergeCell ref="H244:I244"/>
    <mergeCell ref="J227:K227"/>
    <mergeCell ref="H209:I209"/>
    <mergeCell ref="J209:K209"/>
    <mergeCell ref="H174:I174"/>
    <mergeCell ref="J167:K167"/>
    <mergeCell ref="H167:I167"/>
    <mergeCell ref="J166:K166"/>
    <mergeCell ref="H166:I166"/>
    <mergeCell ref="J173:K173"/>
    <mergeCell ref="H173:I173"/>
    <mergeCell ref="J172:K172"/>
    <mergeCell ref="H172:I172"/>
    <mergeCell ref="J171:K171"/>
    <mergeCell ref="H171:I171"/>
    <mergeCell ref="J170:K170"/>
    <mergeCell ref="H170:I170"/>
    <mergeCell ref="H168:I168"/>
    <mergeCell ref="J168:K168"/>
    <mergeCell ref="H169:I169"/>
    <mergeCell ref="J169:K169"/>
    <mergeCell ref="H175:I175"/>
    <mergeCell ref="J174:K174"/>
    <mergeCell ref="J175:K175"/>
    <mergeCell ref="H198:I198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Куркина</cp:lastModifiedBy>
  <cp:lastPrinted>2023-10-10T04:59:48Z</cp:lastPrinted>
  <dcterms:created xsi:type="dcterms:W3CDTF">2017-01-05T07:07:42Z</dcterms:created>
  <dcterms:modified xsi:type="dcterms:W3CDTF">2024-01-13T12:35:36Z</dcterms:modified>
</cp:coreProperties>
</file>